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075" windowHeight="11505" activeTab="3"/>
  </bookViews>
  <sheets>
    <sheet name="X-Z Plane" sheetId="1" r:id="rId1"/>
    <sheet name="Y-Z Plane" sheetId="2" r:id="rId2"/>
    <sheet name="Plate" sheetId="3" r:id="rId3"/>
    <sheet name="Optical Components" sheetId="4" r:id="rId4"/>
    <sheet name="Flat Mirrors" sheetId="5" r:id="rId5"/>
    <sheet name="Spherical Mirrors" sheetId="6" r:id="rId6"/>
  </sheets>
  <definedNames/>
  <calcPr fullCalcOnLoad="1"/>
</workbook>
</file>

<file path=xl/sharedStrings.xml><?xml version="1.0" encoding="utf-8"?>
<sst xmlns="http://schemas.openxmlformats.org/spreadsheetml/2006/main" count="370" uniqueCount="199">
  <si>
    <t>laser position</t>
  </si>
  <si>
    <t>CCD position</t>
  </si>
  <si>
    <t>x</t>
  </si>
  <si>
    <t>y</t>
  </si>
  <si>
    <t>laser to mirror</t>
  </si>
  <si>
    <t>mirror to ccd</t>
  </si>
  <si>
    <t>Main mirror path</t>
  </si>
  <si>
    <t>monitoring path</t>
  </si>
  <si>
    <t>Main Mirror</t>
  </si>
  <si>
    <t>Small mirror pos</t>
  </si>
  <si>
    <t>Beamsplitter pos</t>
  </si>
  <si>
    <t>Monitoring</t>
  </si>
  <si>
    <t>laser to splitter</t>
  </si>
  <si>
    <t>splittor to Smirror</t>
  </si>
  <si>
    <t>Smirror to CCD</t>
  </si>
  <si>
    <t>dist</t>
  </si>
  <si>
    <t>total</t>
  </si>
  <si>
    <t>difference</t>
  </si>
  <si>
    <t>fractional diff</t>
  </si>
  <si>
    <t>z</t>
  </si>
  <si>
    <t>mirror spot position</t>
  </si>
  <si>
    <t>Radius of Curvaure</t>
  </si>
  <si>
    <t>Centre of Curvature</t>
  </si>
  <si>
    <t>y-z plane of optics</t>
  </si>
  <si>
    <t>slope</t>
  </si>
  <si>
    <t>incident beam</t>
  </si>
  <si>
    <t>z offset</t>
  </si>
  <si>
    <t>normal line</t>
  </si>
  <si>
    <t>reflected beam</t>
  </si>
  <si>
    <t>Using a coordinate system centred on the COC</t>
  </si>
  <si>
    <t>u=x v = yz</t>
  </si>
  <si>
    <t>u</t>
  </si>
  <si>
    <t>v</t>
  </si>
  <si>
    <t>mirror spot pos</t>
  </si>
  <si>
    <t>CCD pos</t>
  </si>
  <si>
    <t xml:space="preserve">normal line </t>
  </si>
  <si>
    <t>v intercept</t>
  </si>
  <si>
    <t>centre of curvature</t>
  </si>
  <si>
    <t xml:space="preserve">angle between beam and normal </t>
  </si>
  <si>
    <t>radians</t>
  </si>
  <si>
    <t>degrees</t>
  </si>
  <si>
    <t>angle of normal to u axis</t>
  </si>
  <si>
    <t>third angle</t>
  </si>
  <si>
    <t>point on reflected beam</t>
  </si>
  <si>
    <t>intercept</t>
  </si>
  <si>
    <t>calculations</t>
  </si>
  <si>
    <t>angle to horisontal</t>
  </si>
  <si>
    <t>beamsplitter dist</t>
  </si>
  <si>
    <t>PATH DIFFERENCE</t>
  </si>
  <si>
    <t>COMPONENTS</t>
  </si>
  <si>
    <t>Walls</t>
  </si>
  <si>
    <t>Other Ray</t>
  </si>
  <si>
    <t>Brackets</t>
  </si>
  <si>
    <t>Flat Mirrors</t>
  </si>
  <si>
    <t>Spherical Mirrors</t>
  </si>
  <si>
    <t>Spherical</t>
  </si>
  <si>
    <t>RICH1 - Flat Mirror Parameters (z=EDR+20mm) Bristol 24905-124</t>
  </si>
  <si>
    <t>5th october 2005</t>
  </si>
  <si>
    <t>Input parameters</t>
  </si>
  <si>
    <t>notes</t>
  </si>
  <si>
    <t>Mirror tilt</t>
  </si>
  <si>
    <t>EDR</t>
  </si>
  <si>
    <t>y of lower edge</t>
  </si>
  <si>
    <t>z of lower edge</t>
  </si>
  <si>
    <t>EDR+20</t>
  </si>
  <si>
    <t>inner mirror nominal width</t>
  </si>
  <si>
    <t>EDR-20</t>
  </si>
  <si>
    <t>outer mirror nominal width</t>
  </si>
  <si>
    <t>mirror nominal height</t>
  </si>
  <si>
    <t>EDR-5</t>
  </si>
  <si>
    <t>mirror gap</t>
  </si>
  <si>
    <t>Derived parameters</t>
  </si>
  <si>
    <t>mirror delta-y</t>
  </si>
  <si>
    <t>mirror delta-z</t>
  </si>
  <si>
    <t>mirror delta-y gap</t>
  </si>
  <si>
    <t>mirror delta-z gap</t>
  </si>
  <si>
    <t>mirror corners</t>
  </si>
  <si>
    <t>tilt</t>
  </si>
  <si>
    <t>width</t>
  </si>
  <si>
    <t>height</t>
  </si>
  <si>
    <t>point 1</t>
  </si>
  <si>
    <t>point 2</t>
  </si>
  <si>
    <t>point 3</t>
  </si>
  <si>
    <t>point 4</t>
  </si>
  <si>
    <t>RICH1 - Carbon-Fibre Mirror Parameters (z=EDR+20mm)</t>
  </si>
  <si>
    <t>Input Parameters</t>
  </si>
  <si>
    <t>Radius</t>
  </si>
  <si>
    <t>C of C(x,y,z)</t>
  </si>
  <si>
    <t>mirror nominal height (dy)</t>
  </si>
  <si>
    <t>mirror nominal width (dx)</t>
  </si>
  <si>
    <t>radius of beampipe cutout</t>
  </si>
  <si>
    <t>thickness of mirror (dz)</t>
  </si>
  <si>
    <t>rear corners of GE (x,y,z)</t>
  </si>
  <si>
    <t>beampipe cone half angle</t>
  </si>
  <si>
    <t>Derived Parameters</t>
  </si>
  <si>
    <t>y1</t>
  </si>
  <si>
    <t>y2</t>
  </si>
  <si>
    <t>x1</t>
  </si>
  <si>
    <t>x2</t>
  </si>
  <si>
    <t>y5</t>
  </si>
  <si>
    <t>x5</t>
  </si>
  <si>
    <t>y0</t>
  </si>
  <si>
    <t>x0</t>
  </si>
  <si>
    <t>mirror coordinates</t>
  </si>
  <si>
    <t>r</t>
  </si>
  <si>
    <t>tilt in y-z</t>
  </si>
  <si>
    <t>degr</t>
  </si>
  <si>
    <t>tilt in x-z</t>
  </si>
  <si>
    <t>coord 1(virtual corner)</t>
  </si>
  <si>
    <t>x,y,z</t>
  </si>
  <si>
    <t>coord 2</t>
  </si>
  <si>
    <t>coord 3</t>
  </si>
  <si>
    <t>coord 4</t>
  </si>
  <si>
    <t>coord 5(cut-out)</t>
  </si>
  <si>
    <t>coord 6(cut-out)</t>
  </si>
  <si>
    <t>coord 7(support bracket)</t>
  </si>
  <si>
    <t>blank centre ????</t>
  </si>
  <si>
    <t>mirror centre</t>
  </si>
  <si>
    <t>mirror dimensions</t>
  </si>
  <si>
    <t>diameter</t>
  </si>
  <si>
    <t>1=4</t>
  </si>
  <si>
    <t>2=3</t>
  </si>
  <si>
    <t>7=2</t>
  </si>
  <si>
    <t>corner to corner</t>
  </si>
  <si>
    <t>1=2</t>
  </si>
  <si>
    <t>3=4</t>
  </si>
  <si>
    <t>1=3</t>
  </si>
  <si>
    <t>2=4</t>
  </si>
  <si>
    <t>clearances to GE</t>
  </si>
  <si>
    <t>at side of mirrors</t>
  </si>
  <si>
    <t>dx</t>
  </si>
  <si>
    <t>above mirrors</t>
  </si>
  <si>
    <t>dy</t>
  </si>
  <si>
    <t>behind mirrors</t>
  </si>
  <si>
    <t>dz</t>
  </si>
  <si>
    <t>clearances to Beampipe</t>
  </si>
  <si>
    <t>at front of mirror</t>
  </si>
  <si>
    <t>dr</t>
  </si>
  <si>
    <t>at rear of mirror</t>
  </si>
  <si>
    <t>Beampipe</t>
  </si>
  <si>
    <t>z+20</t>
  </si>
  <si>
    <t>spot accuracy (mm)</t>
  </si>
  <si>
    <t>Sensitivity (mrad)</t>
  </si>
  <si>
    <t>laser</t>
  </si>
  <si>
    <t>beamsplitter</t>
  </si>
  <si>
    <t>small mirror</t>
  </si>
  <si>
    <t>camera</t>
  </si>
  <si>
    <t>length</t>
  </si>
  <si>
    <t>mount point</t>
  </si>
  <si>
    <t>point1</t>
  </si>
  <si>
    <t>Beamsplitter Pos</t>
  </si>
  <si>
    <t>Laser</t>
  </si>
  <si>
    <t>laser to mirror spot</t>
  </si>
  <si>
    <t>angle (to v)</t>
  </si>
  <si>
    <t>spot to camera</t>
  </si>
  <si>
    <t>splitter to camera</t>
  </si>
  <si>
    <t>Point2</t>
  </si>
  <si>
    <t>Point3</t>
  </si>
  <si>
    <t>Point4</t>
  </si>
  <si>
    <t>Point5</t>
  </si>
  <si>
    <t>angle</t>
  </si>
  <si>
    <t>rad</t>
  </si>
  <si>
    <t>pi minus…</t>
  </si>
  <si>
    <t>Point1</t>
  </si>
  <si>
    <t>minus pi/2…</t>
  </si>
  <si>
    <t>Bamsplitter</t>
  </si>
  <si>
    <t>rays</t>
  </si>
  <si>
    <t>Camera</t>
  </si>
  <si>
    <t>minus pi/2..</t>
  </si>
  <si>
    <t>pi minus</t>
  </si>
  <si>
    <t>mount</t>
  </si>
  <si>
    <t>Components Size</t>
  </si>
  <si>
    <t>Bracket Mount Positions</t>
  </si>
  <si>
    <t>bracket V</t>
  </si>
  <si>
    <t>bracket U</t>
  </si>
  <si>
    <t>splitter</t>
  </si>
  <si>
    <t>Brcket offset</t>
  </si>
  <si>
    <t>from wall</t>
  </si>
  <si>
    <t>bracket y intercept with upstream wall</t>
  </si>
  <si>
    <t xml:space="preserve">bracket y intercept with upstream wall </t>
  </si>
  <si>
    <t>Bracket</t>
  </si>
  <si>
    <t>U</t>
  </si>
  <si>
    <t>V</t>
  </si>
  <si>
    <t>Plate</t>
  </si>
  <si>
    <t>Splitter</t>
  </si>
  <si>
    <t>V offset</t>
  </si>
  <si>
    <t>U offset</t>
  </si>
  <si>
    <t>Plate Widths</t>
  </si>
  <si>
    <t xml:space="preserve">mount offset form centre </t>
  </si>
  <si>
    <t>mount holes</t>
  </si>
  <si>
    <t>laser 1</t>
  </si>
  <si>
    <t>laser 2</t>
  </si>
  <si>
    <t>splitter 1</t>
  </si>
  <si>
    <t>splitter 2</t>
  </si>
  <si>
    <t>camera 1</t>
  </si>
  <si>
    <t>camera 2</t>
  </si>
  <si>
    <t>sin</t>
  </si>
  <si>
    <t>cos</t>
  </si>
  <si>
    <t>Bracket bits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</si>
</sst>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"/>
  </numFmts>
  <fonts count="9">
    <font>
      <sz val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4.25"/>
      <name val="Arial"/>
      <family val="0"/>
    </font>
    <font>
      <b/>
      <sz val="4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5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5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1" fontId="1" fillId="0" borderId="7" xfId="0" applyNumberFormat="1" applyFont="1" applyBorder="1" applyAlignment="1">
      <alignment/>
    </xf>
    <xf numFmtId="1" fontId="0" fillId="0" borderId="7" xfId="0" applyNumberFormat="1" applyBorder="1" applyAlignment="1">
      <alignment/>
    </xf>
    <xf numFmtId="1" fontId="0" fillId="0" borderId="8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5" xfId="0" applyNumberFormat="1" applyFont="1" applyBorder="1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6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9" xfId="0" applyFill="1" applyBorder="1" applyAlignment="1">
      <alignment/>
    </xf>
    <xf numFmtId="0" fontId="1" fillId="0" borderId="10" xfId="0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5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1" fontId="0" fillId="0" borderId="2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6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6" xfId="0" applyNumberFormat="1" applyFill="1" applyBorder="1" applyAlignment="1">
      <alignment/>
    </xf>
    <xf numFmtId="1" fontId="0" fillId="0" borderId="7" xfId="0" applyNumberFormat="1" applyFill="1" applyBorder="1" applyAlignment="1">
      <alignment/>
    </xf>
    <xf numFmtId="1" fontId="0" fillId="0" borderId="2" xfId="0" applyNumberFormat="1" applyFill="1" applyBorder="1" applyAlignment="1">
      <alignment/>
    </xf>
    <xf numFmtId="164" fontId="0" fillId="0" borderId="0" xfId="0" applyNumberFormat="1" applyBorder="1" applyAlignment="1">
      <alignment/>
    </xf>
    <xf numFmtId="164" fontId="0" fillId="0" borderId="7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8" xfId="0" applyNumberFormat="1" applyBorder="1" applyAlignment="1">
      <alignment/>
    </xf>
    <xf numFmtId="164" fontId="0" fillId="0" borderId="5" xfId="0" applyNumberFormat="1" applyBorder="1" applyAlignment="1">
      <alignment/>
    </xf>
    <xf numFmtId="1" fontId="0" fillId="0" borderId="4" xfId="0" applyNumberFormat="1" applyFill="1" applyBorder="1" applyAlignment="1">
      <alignment/>
    </xf>
    <xf numFmtId="0" fontId="2" fillId="0" borderId="4" xfId="0" applyFont="1" applyBorder="1" applyAlignment="1">
      <alignment/>
    </xf>
    <xf numFmtId="1" fontId="0" fillId="0" borderId="1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165" fontId="0" fillId="0" borderId="7" xfId="0" applyNumberFormat="1" applyBorder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185"/>
          <c:w val="0.815"/>
          <c:h val="0.93425"/>
        </c:manualLayout>
      </c:layout>
      <c:scatterChart>
        <c:scatterStyle val="lineMarker"/>
        <c:varyColors val="0"/>
        <c:ser>
          <c:idx val="0"/>
          <c:order val="0"/>
          <c:tx>
            <c:v>Rays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'Optical Components'!$B$2:$B$6</c:f>
              <c:numCache>
                <c:ptCount val="5"/>
                <c:pt idx="0">
                  <c:v>-775</c:v>
                </c:pt>
                <c:pt idx="1">
                  <c:v>-300</c:v>
                </c:pt>
                <c:pt idx="2">
                  <c:v>700</c:v>
                </c:pt>
                <c:pt idx="3">
                  <c:v>700</c:v>
                </c:pt>
                <c:pt idx="4">
                  <c:v>-732.4556820584552</c:v>
                </c:pt>
              </c:numCache>
            </c:numRef>
          </c:xVal>
          <c:yVal>
            <c:numRef>
              <c:f>'Optical Components'!$D$2:$D$6</c:f>
              <c:numCache>
                <c:ptCount val="5"/>
                <c:pt idx="0">
                  <c:v>1250</c:v>
                </c:pt>
                <c:pt idx="1">
                  <c:v>1912.0407354785812</c:v>
                </c:pt>
                <c:pt idx="2">
                  <c:v>1339.0229749890389</c:v>
                </c:pt>
                <c:pt idx="3">
                  <c:v>1339.0229749890389</c:v>
                </c:pt>
                <c:pt idx="4">
                  <c:v>1309.2969927167471</c:v>
                </c:pt>
              </c:numCache>
            </c:numRef>
          </c:yVal>
          <c:smooth val="0"/>
        </c:ser>
        <c:ser>
          <c:idx val="1"/>
          <c:order val="1"/>
          <c:tx>
            <c:v>Mirror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'Optical Components'!$G$10:$G$32</c:f>
              <c:numCache>
                <c:ptCount val="23"/>
                <c:pt idx="0">
                  <c:v>-800</c:v>
                </c:pt>
                <c:pt idx="1">
                  <c:v>-750</c:v>
                </c:pt>
                <c:pt idx="2">
                  <c:v>-700</c:v>
                </c:pt>
                <c:pt idx="3">
                  <c:v>-650</c:v>
                </c:pt>
                <c:pt idx="4">
                  <c:v>-600</c:v>
                </c:pt>
                <c:pt idx="5">
                  <c:v>-500</c:v>
                </c:pt>
                <c:pt idx="6">
                  <c:v>-400</c:v>
                </c:pt>
                <c:pt idx="7">
                  <c:v>-300</c:v>
                </c:pt>
                <c:pt idx="8">
                  <c:v>-200</c:v>
                </c:pt>
                <c:pt idx="9">
                  <c:v>-100</c:v>
                </c:pt>
                <c:pt idx="10">
                  <c:v>-50</c:v>
                </c:pt>
                <c:pt idx="11">
                  <c:v>1</c:v>
                </c:pt>
                <c:pt idx="12">
                  <c:v>50</c:v>
                </c:pt>
                <c:pt idx="13">
                  <c:v>100</c:v>
                </c:pt>
                <c:pt idx="14">
                  <c:v>200</c:v>
                </c:pt>
                <c:pt idx="15">
                  <c:v>300</c:v>
                </c:pt>
                <c:pt idx="16">
                  <c:v>400</c:v>
                </c:pt>
                <c:pt idx="17">
                  <c:v>500</c:v>
                </c:pt>
                <c:pt idx="18">
                  <c:v>600</c:v>
                </c:pt>
                <c:pt idx="19">
                  <c:v>650</c:v>
                </c:pt>
                <c:pt idx="20">
                  <c:v>700</c:v>
                </c:pt>
                <c:pt idx="21">
                  <c:v>750</c:v>
                </c:pt>
                <c:pt idx="22">
                  <c:v>800</c:v>
                </c:pt>
              </c:numCache>
            </c:numRef>
          </c:xVal>
          <c:yVal>
            <c:numRef>
              <c:f>'Optical Components'!$I$10:$I$32</c:f>
              <c:numCache>
                <c:ptCount val="23"/>
                <c:pt idx="0">
                  <c:v>1803</c:v>
                </c:pt>
                <c:pt idx="1">
                  <c:v>1818</c:v>
                </c:pt>
                <c:pt idx="2">
                  <c:v>1833</c:v>
                </c:pt>
                <c:pt idx="3">
                  <c:v>1846</c:v>
                </c:pt>
                <c:pt idx="4">
                  <c:v>1859</c:v>
                </c:pt>
                <c:pt idx="5">
                  <c:v>1881</c:v>
                </c:pt>
                <c:pt idx="6">
                  <c:v>1898</c:v>
                </c:pt>
                <c:pt idx="7">
                  <c:v>1912</c:v>
                </c:pt>
                <c:pt idx="8">
                  <c:v>1921</c:v>
                </c:pt>
                <c:pt idx="9">
                  <c:v>1927</c:v>
                </c:pt>
                <c:pt idx="10">
                  <c:v>1929</c:v>
                </c:pt>
                <c:pt idx="11">
                  <c:v>1929</c:v>
                </c:pt>
                <c:pt idx="12">
                  <c:v>1929</c:v>
                </c:pt>
                <c:pt idx="13">
                  <c:v>1927</c:v>
                </c:pt>
                <c:pt idx="14">
                  <c:v>1921</c:v>
                </c:pt>
                <c:pt idx="15">
                  <c:v>1912</c:v>
                </c:pt>
                <c:pt idx="16">
                  <c:v>1898</c:v>
                </c:pt>
                <c:pt idx="17">
                  <c:v>1881</c:v>
                </c:pt>
                <c:pt idx="18">
                  <c:v>1859</c:v>
                </c:pt>
                <c:pt idx="19">
                  <c:v>1846</c:v>
                </c:pt>
                <c:pt idx="20">
                  <c:v>1833</c:v>
                </c:pt>
                <c:pt idx="21">
                  <c:v>1818</c:v>
                </c:pt>
                <c:pt idx="22">
                  <c:v>1803</c:v>
                </c:pt>
              </c:numCache>
            </c:numRef>
          </c:yVal>
          <c:smooth val="0"/>
        </c:ser>
        <c:ser>
          <c:idx val="2"/>
          <c:order val="2"/>
          <c:tx>
            <c:v>Walls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'Optical Components'!$G$37:$G$41</c:f>
              <c:numCache>
                <c:ptCount val="5"/>
                <c:pt idx="0">
                  <c:v>-890</c:v>
                </c:pt>
                <c:pt idx="1">
                  <c:v>890</c:v>
                </c:pt>
                <c:pt idx="2">
                  <c:v>890</c:v>
                </c:pt>
                <c:pt idx="3">
                  <c:v>-890</c:v>
                </c:pt>
                <c:pt idx="4">
                  <c:v>-890</c:v>
                </c:pt>
              </c:numCache>
            </c:numRef>
          </c:xVal>
          <c:yVal>
            <c:numRef>
              <c:f>'Optical Components'!$I$37:$I$41</c:f>
              <c:numCache>
                <c:ptCount val="5"/>
                <c:pt idx="0">
                  <c:v>1080</c:v>
                </c:pt>
                <c:pt idx="1">
                  <c:v>1080</c:v>
                </c:pt>
                <c:pt idx="2">
                  <c:v>2000</c:v>
                </c:pt>
                <c:pt idx="3">
                  <c:v>2000</c:v>
                </c:pt>
                <c:pt idx="4">
                  <c:v>1080</c:v>
                </c:pt>
              </c:numCache>
            </c:numRef>
          </c:yVal>
          <c:smooth val="0"/>
        </c:ser>
        <c:ser>
          <c:idx val="3"/>
          <c:order val="3"/>
          <c:tx>
            <c:v>Other Ray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'Optical Components'!$M$19:$M$23</c:f>
              <c:numCache>
                <c:ptCount val="5"/>
                <c:pt idx="0">
                  <c:v>775</c:v>
                </c:pt>
                <c:pt idx="1">
                  <c:v>300</c:v>
                </c:pt>
                <c:pt idx="2">
                  <c:v>-700</c:v>
                </c:pt>
                <c:pt idx="3">
                  <c:v>-700</c:v>
                </c:pt>
                <c:pt idx="4">
                  <c:v>732.4556820584552</c:v>
                </c:pt>
              </c:numCache>
            </c:numRef>
          </c:xVal>
          <c:yVal>
            <c:numRef>
              <c:f>'Optical Components'!$O$19:$O$23</c:f>
              <c:numCache>
                <c:ptCount val="5"/>
                <c:pt idx="0">
                  <c:v>1250</c:v>
                </c:pt>
                <c:pt idx="1">
                  <c:v>1912.0407354785812</c:v>
                </c:pt>
                <c:pt idx="2">
                  <c:v>1339.0229749890389</c:v>
                </c:pt>
                <c:pt idx="3">
                  <c:v>1339.0229749890389</c:v>
                </c:pt>
                <c:pt idx="4">
                  <c:v>1309.2969927167471</c:v>
                </c:pt>
              </c:numCache>
            </c:numRef>
          </c:yVal>
          <c:smooth val="0"/>
        </c:ser>
        <c:ser>
          <c:idx val="4"/>
          <c:order val="4"/>
          <c:tx>
            <c:v>Bracket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'Optical Components'!$M$26:$M$28</c:f>
              <c:numCache>
                <c:ptCount val="3"/>
                <c:pt idx="0">
                  <c:v>-890</c:v>
                </c:pt>
                <c:pt idx="1">
                  <c:v>-680</c:v>
                </c:pt>
                <c:pt idx="2">
                  <c:v>-680</c:v>
                </c:pt>
              </c:numCache>
            </c:numRef>
          </c:xVal>
          <c:yVal>
            <c:numRef>
              <c:f>'Optical Components'!$O$26:$O$28</c:f>
              <c:numCache>
                <c:ptCount val="3"/>
                <c:pt idx="0">
                  <c:v>1090</c:v>
                </c:pt>
                <c:pt idx="1">
                  <c:v>1090</c:v>
                </c:pt>
                <c:pt idx="2">
                  <c:v>1080</c:v>
                </c:pt>
              </c:numCache>
            </c:numRef>
          </c:yVal>
          <c:smooth val="0"/>
        </c:ser>
        <c:ser>
          <c:idx val="5"/>
          <c:order val="5"/>
          <c:tx>
            <c:v>Bracket 2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'Optical Components'!$M$30:$M$32</c:f>
              <c:numCache>
                <c:ptCount val="3"/>
                <c:pt idx="0">
                  <c:v>890</c:v>
                </c:pt>
                <c:pt idx="1">
                  <c:v>680</c:v>
                </c:pt>
                <c:pt idx="2">
                  <c:v>680</c:v>
                </c:pt>
              </c:numCache>
            </c:numRef>
          </c:xVal>
          <c:yVal>
            <c:numRef>
              <c:f>'Optical Components'!$O$30:$O$32</c:f>
              <c:numCache>
                <c:ptCount val="3"/>
                <c:pt idx="0">
                  <c:v>1090</c:v>
                </c:pt>
                <c:pt idx="1">
                  <c:v>1090</c:v>
                </c:pt>
                <c:pt idx="2">
                  <c:v>1080</c:v>
                </c:pt>
              </c:numCache>
            </c:numRef>
          </c:yVal>
          <c:smooth val="0"/>
        </c:ser>
        <c:ser>
          <c:idx val="7"/>
          <c:order val="6"/>
          <c:tx>
            <c:v>Flat Mirrors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none"/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3175">
                <a:noFill/>
              </a:ln>
            </c:spPr>
            <c:marker>
              <c:symbol val="none"/>
            </c:marker>
          </c:dPt>
          <c:dPt>
            <c:idx val="11"/>
            <c:spPr>
              <a:ln w="3175">
                <a:noFill/>
              </a:ln>
            </c:spPr>
            <c:marker>
              <c:symbol val="none"/>
            </c:marker>
          </c:dPt>
          <c:dPt>
            <c:idx val="12"/>
            <c:spPr>
              <a:ln w="3175">
                <a:noFill/>
              </a:ln>
            </c:spPr>
            <c:marker>
              <c:symbol val="none"/>
            </c:marker>
          </c:dPt>
          <c:xVal>
            <c:numRef>
              <c:f>'Flat Mirrors'!$D$20:$D$35</c:f>
              <c:numCache>
                <c:ptCount val="16"/>
                <c:pt idx="0">
                  <c:v>1.5</c:v>
                </c:pt>
                <c:pt idx="1">
                  <c:v>349.25</c:v>
                </c:pt>
                <c:pt idx="2">
                  <c:v>352.25</c:v>
                </c:pt>
                <c:pt idx="3">
                  <c:v>700</c:v>
                </c:pt>
                <c:pt idx="4">
                  <c:v>1.5</c:v>
                </c:pt>
                <c:pt idx="5">
                  <c:v>349.25</c:v>
                </c:pt>
                <c:pt idx="6">
                  <c:v>352.25</c:v>
                </c:pt>
                <c:pt idx="7">
                  <c:v>700</c:v>
                </c:pt>
                <c:pt idx="8">
                  <c:v>1.5</c:v>
                </c:pt>
                <c:pt idx="9">
                  <c:v>349.25</c:v>
                </c:pt>
                <c:pt idx="10">
                  <c:v>352.25</c:v>
                </c:pt>
                <c:pt idx="11">
                  <c:v>700</c:v>
                </c:pt>
                <c:pt idx="12">
                  <c:v>1.5</c:v>
                </c:pt>
                <c:pt idx="13">
                  <c:v>349.25</c:v>
                </c:pt>
                <c:pt idx="14">
                  <c:v>352.25</c:v>
                </c:pt>
                <c:pt idx="15">
                  <c:v>700</c:v>
                </c:pt>
              </c:numCache>
            </c:numRef>
          </c:xVal>
          <c:yVal>
            <c:numRef>
              <c:f>'Flat Mirrors'!$F$20:$F$35</c:f>
              <c:numCache>
                <c:ptCount val="16"/>
                <c:pt idx="0">
                  <c:v>1330</c:v>
                </c:pt>
                <c:pt idx="1">
                  <c:v>1330</c:v>
                </c:pt>
                <c:pt idx="2">
                  <c:v>1330</c:v>
                </c:pt>
                <c:pt idx="3">
                  <c:v>1330</c:v>
                </c:pt>
                <c:pt idx="4">
                  <c:v>1235.862793503654</c:v>
                </c:pt>
                <c:pt idx="5">
                  <c:v>1235.862793503654</c:v>
                </c:pt>
                <c:pt idx="6">
                  <c:v>1235.862793503654</c:v>
                </c:pt>
                <c:pt idx="7">
                  <c:v>1235.862793503654</c:v>
                </c:pt>
                <c:pt idx="8">
                  <c:v>1235.1205816258905</c:v>
                </c:pt>
                <c:pt idx="9">
                  <c:v>1235.1205816258905</c:v>
                </c:pt>
                <c:pt idx="10">
                  <c:v>1235.1205816258905</c:v>
                </c:pt>
                <c:pt idx="11">
                  <c:v>1235.1205816258905</c:v>
                </c:pt>
                <c:pt idx="12">
                  <c:v>1140.9833751295446</c:v>
                </c:pt>
                <c:pt idx="13">
                  <c:v>1140.9833751295446</c:v>
                </c:pt>
                <c:pt idx="14">
                  <c:v>1140.9833751295446</c:v>
                </c:pt>
                <c:pt idx="15">
                  <c:v>1140.9833751295446</c:v>
                </c:pt>
              </c:numCache>
            </c:numRef>
          </c:yVal>
          <c:smooth val="0"/>
        </c:ser>
        <c:ser>
          <c:idx val="6"/>
          <c:order val="7"/>
          <c:tx>
            <c:v>Laser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xVal>
            <c:numRef>
              <c:f>('Optical Components'!$D$71:$D$75,'Optical Components'!$K$71:$K$75)</c:f>
              <c:numCache>
                <c:ptCount val="10"/>
                <c:pt idx="0">
                  <c:v>-795.5885108492002</c:v>
                </c:pt>
                <c:pt idx="1">
                  <c:v>-754.4114891507998</c:v>
                </c:pt>
                <c:pt idx="2">
                  <c:v>-779.9380799157267</c:v>
                </c:pt>
                <c:pt idx="3">
                  <c:v>-821.1151016141272</c:v>
                </c:pt>
                <c:pt idx="4">
                  <c:v>-795.5885108492002</c:v>
                </c:pt>
                <c:pt idx="5">
                  <c:v>795.5885108492002</c:v>
                </c:pt>
                <c:pt idx="6">
                  <c:v>754.4114891507998</c:v>
                </c:pt>
                <c:pt idx="7">
                  <c:v>779.9380799157267</c:v>
                </c:pt>
                <c:pt idx="8">
                  <c:v>821.1151016141272</c:v>
                </c:pt>
                <c:pt idx="9">
                  <c:v>795.5885108492002</c:v>
                </c:pt>
              </c:numCache>
            </c:numRef>
          </c:xVal>
          <c:yVal>
            <c:numRef>
              <c:f>('Optical Components'!$F$71:$F$75,'Optical Components'!$M$71:$M$75)</c:f>
              <c:numCache>
                <c:ptCount val="10"/>
                <c:pt idx="0">
                  <c:v>1263.6146596495087</c:v>
                </c:pt>
                <c:pt idx="1">
                  <c:v>1236.385340350491</c:v>
                </c:pt>
                <c:pt idx="2">
                  <c:v>1200.8071447204427</c:v>
                </c:pt>
                <c:pt idx="3">
                  <c:v>1228.0364640194605</c:v>
                </c:pt>
                <c:pt idx="4">
                  <c:v>1263.6146596495087</c:v>
                </c:pt>
                <c:pt idx="5">
                  <c:v>1263.6146596495087</c:v>
                </c:pt>
                <c:pt idx="6">
                  <c:v>1236.385340350491</c:v>
                </c:pt>
                <c:pt idx="7">
                  <c:v>1200.8071447204427</c:v>
                </c:pt>
                <c:pt idx="8">
                  <c:v>1228.0364640194605</c:v>
                </c:pt>
                <c:pt idx="9">
                  <c:v>1263.6146596495087</c:v>
                </c:pt>
              </c:numCache>
            </c:numRef>
          </c:yVal>
          <c:smooth val="0"/>
        </c:ser>
        <c:ser>
          <c:idx val="8"/>
          <c:order val="8"/>
          <c:tx>
            <c:v>Beamsplitter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xVal>
            <c:numRef>
              <c:f>('Optical Components'!$D$81:$D$85,'Optical Components'!$K$81:$K$85)</c:f>
              <c:numCache>
                <c:ptCount val="10"/>
                <c:pt idx="0">
                  <c:v>-744.3230759025565</c:v>
                </c:pt>
                <c:pt idx="1">
                  <c:v>-720.5882882143538</c:v>
                </c:pt>
                <c:pt idx="2">
                  <c:v>-680.981540288644</c:v>
                </c:pt>
                <c:pt idx="3">
                  <c:v>-704.7163279768467</c:v>
                </c:pt>
                <c:pt idx="4">
                  <c:v>-744.3230759025565</c:v>
                </c:pt>
                <c:pt idx="5">
                  <c:v>744.3230759025565</c:v>
                </c:pt>
                <c:pt idx="6">
                  <c:v>720.5882882143538</c:v>
                </c:pt>
                <c:pt idx="7">
                  <c:v>680.981540288644</c:v>
                </c:pt>
                <c:pt idx="8">
                  <c:v>704.7163279768467</c:v>
                </c:pt>
                <c:pt idx="9">
                  <c:v>744.3230759025565</c:v>
                </c:pt>
              </c:numCache>
            </c:numRef>
          </c:xVal>
          <c:yVal>
            <c:numRef>
              <c:f>('Optical Components'!$F$81:$F$85,'Optical Components'!$M$81:$M$85)</c:f>
              <c:numCache>
                <c:ptCount val="10"/>
                <c:pt idx="0">
                  <c:v>1330.4213331270353</c:v>
                </c:pt>
                <c:pt idx="1">
                  <c:v>1288.172652306459</c:v>
                </c:pt>
                <c:pt idx="2">
                  <c:v>1308.6802287357018</c:v>
                </c:pt>
                <c:pt idx="3">
                  <c:v>1350.9289095562779</c:v>
                </c:pt>
                <c:pt idx="4">
                  <c:v>1330.4213331270353</c:v>
                </c:pt>
                <c:pt idx="5">
                  <c:v>1330.4213331270353</c:v>
                </c:pt>
                <c:pt idx="6">
                  <c:v>1288.172652306459</c:v>
                </c:pt>
                <c:pt idx="7">
                  <c:v>1308.6802287357018</c:v>
                </c:pt>
                <c:pt idx="8">
                  <c:v>1350.9289095562779</c:v>
                </c:pt>
                <c:pt idx="9">
                  <c:v>1330.4213331270353</c:v>
                </c:pt>
              </c:numCache>
            </c:numRef>
          </c:yVal>
          <c:smooth val="0"/>
        </c:ser>
        <c:ser>
          <c:idx val="9"/>
          <c:order val="9"/>
          <c:tx>
            <c:v>Camera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xVal>
            <c:numRef>
              <c:f>('Optical Components'!$D$91:$D$95,'Optical Components'!$K$91:$K$95)</c:f>
              <c:numCache>
                <c:ptCount val="10"/>
                <c:pt idx="0">
                  <c:v>675.8290544265825</c:v>
                </c:pt>
                <c:pt idx="1">
                  <c:v>724.1709455734175</c:v>
                </c:pt>
                <c:pt idx="2">
                  <c:v>698.6318335804332</c:v>
                </c:pt>
                <c:pt idx="3">
                  <c:v>650.2899424335982</c:v>
                </c:pt>
                <c:pt idx="4">
                  <c:v>675.8290544265825</c:v>
                </c:pt>
                <c:pt idx="5">
                  <c:v>-675.8290544265825</c:v>
                </c:pt>
                <c:pt idx="6">
                  <c:v>-724.1709455734175</c:v>
                </c:pt>
                <c:pt idx="7">
                  <c:v>-698.6318335804332</c:v>
                </c:pt>
                <c:pt idx="8">
                  <c:v>-650.2899424335982</c:v>
                </c:pt>
                <c:pt idx="9">
                  <c:v>-675.8290544265825</c:v>
                </c:pt>
              </c:numCache>
            </c:numRef>
          </c:xVal>
          <c:yVal>
            <c:numRef>
              <c:f>('Optical Components'!$F$91:$F$95,'Optical Components'!$M$91:$M$95)</c:f>
              <c:numCache>
                <c:ptCount val="10"/>
                <c:pt idx="0">
                  <c:v>1345.1525770315416</c:v>
                </c:pt>
                <c:pt idx="1">
                  <c:v>1332.893372946536</c:v>
                </c:pt>
                <c:pt idx="2">
                  <c:v>1240.073683744034</c:v>
                </c:pt>
                <c:pt idx="3">
                  <c:v>1252.3328878290397</c:v>
                </c:pt>
                <c:pt idx="4">
                  <c:v>1345.1525770315416</c:v>
                </c:pt>
                <c:pt idx="5">
                  <c:v>1345.1525770315416</c:v>
                </c:pt>
                <c:pt idx="6">
                  <c:v>1332.893372946536</c:v>
                </c:pt>
                <c:pt idx="7">
                  <c:v>1240.073683744034</c:v>
                </c:pt>
                <c:pt idx="8">
                  <c:v>1252.3328878290397</c:v>
                </c:pt>
                <c:pt idx="9">
                  <c:v>1345.1525770315416</c:v>
                </c:pt>
              </c:numCache>
            </c:numRef>
          </c:yVal>
          <c:smooth val="0"/>
        </c:ser>
        <c:ser>
          <c:idx val="10"/>
          <c:order val="10"/>
          <c:tx>
            <c:v>Mounts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('Optical Components'!$D$76,'Optical Components'!$D$86,'Optical Components'!$D$96,'Optical Components'!$K$76,'Optical Components'!$K$86,'Optical Components'!$K$96)</c:f>
              <c:numCache>
                <c:ptCount val="6"/>
                <c:pt idx="0">
                  <c:v>-783.5088635883089</c:v>
                </c:pt>
                <c:pt idx="1">
                  <c:v>-719.2534327498853</c:v>
                </c:pt>
                <c:pt idx="2">
                  <c:v>687.2304440035078</c:v>
                </c:pt>
                <c:pt idx="3">
                  <c:v>783.5088635883089</c:v>
                </c:pt>
                <c:pt idx="4">
                  <c:v>719.2534327498853</c:v>
                </c:pt>
                <c:pt idx="5">
                  <c:v>-687.2304440035078</c:v>
                </c:pt>
              </c:numCache>
            </c:numRef>
          </c:xVal>
          <c:yVal>
            <c:numRef>
              <c:f>('Optical Components'!$F$76,'Optical Components'!$F$86,'Optical Components'!$F$96,'Optical Components'!$M$76,'Optical Components'!$M$86,'Optical Components'!$M$96)</c:f>
              <c:numCache>
                <c:ptCount val="6"/>
                <c:pt idx="0">
                  <c:v>1238.1406014566505</c:v>
                </c:pt>
                <c:pt idx="1">
                  <c:v>1316.1328515264947</c:v>
                </c:pt>
                <c:pt idx="2">
                  <c:v>1292.613130387788</c:v>
                </c:pt>
                <c:pt idx="3">
                  <c:v>1238.1406014566505</c:v>
                </c:pt>
                <c:pt idx="4">
                  <c:v>1316.1328515264947</c:v>
                </c:pt>
                <c:pt idx="5">
                  <c:v>1292.613130387788</c:v>
                </c:pt>
              </c:numCache>
            </c:numRef>
          </c:yVal>
          <c:smooth val="0"/>
        </c:ser>
        <c:ser>
          <c:idx val="11"/>
          <c:order val="11"/>
          <c:tx>
            <c:v>bracket mounts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'Optical Components'!$H$60:$H$62</c:f>
              <c:numCache>
                <c:ptCount val="3"/>
                <c:pt idx="0">
                  <c:v>-783.5088635883089</c:v>
                </c:pt>
                <c:pt idx="1">
                  <c:v>-719.2534327498853</c:v>
                </c:pt>
                <c:pt idx="2">
                  <c:v>687.2304440035078</c:v>
                </c:pt>
              </c:numCache>
            </c:numRef>
          </c:xVal>
          <c:yVal>
            <c:numRef>
              <c:f>'Optical Components'!$J$60:$J$62</c:f>
              <c:numCache>
                <c:ptCount val="3"/>
                <c:pt idx="0">
                  <c:v>1217.149268997697</c:v>
                </c:pt>
                <c:pt idx="1">
                  <c:v>1295.1415190675411</c:v>
                </c:pt>
                <c:pt idx="2">
                  <c:v>1271.6217979288344</c:v>
                </c:pt>
              </c:numCache>
            </c:numRef>
          </c:yVal>
          <c:smooth val="0"/>
        </c:ser>
        <c:axId val="30086730"/>
        <c:axId val="2345115"/>
      </c:scatterChart>
      <c:valAx>
        <c:axId val="30086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45115"/>
        <c:crosses val="autoZero"/>
        <c:crossBetween val="midCat"/>
        <c:dispUnits/>
      </c:valAx>
      <c:valAx>
        <c:axId val="2345115"/>
        <c:scaling>
          <c:orientation val="minMax"/>
          <c:max val="22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>
            <c:manualLayout>
              <c:xMode val="factor"/>
              <c:yMode val="factor"/>
              <c:x val="0.122"/>
              <c:y val="0.1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08673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5"/>
          <c:y val="0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"/>
          <c:w val="0.8305"/>
          <c:h val="0.96825"/>
        </c:manualLayout>
      </c:layout>
      <c:scatterChart>
        <c:scatterStyle val="lineMarker"/>
        <c:varyColors val="0"/>
        <c:ser>
          <c:idx val="0"/>
          <c:order val="0"/>
          <c:tx>
            <c:v>Rays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'Optical Components'!$D$2:$D$6</c:f>
              <c:numCache>
                <c:ptCount val="5"/>
                <c:pt idx="0">
                  <c:v>1250</c:v>
                </c:pt>
                <c:pt idx="1">
                  <c:v>1927.9309782470555</c:v>
                </c:pt>
                <c:pt idx="2">
                  <c:v>1205.4912638345515</c:v>
                </c:pt>
                <c:pt idx="3">
                  <c:v>1205.4912638345515</c:v>
                </c:pt>
                <c:pt idx="4">
                  <c:v>1299.5328012231428</c:v>
                </c:pt>
              </c:numCache>
            </c:numRef>
          </c:xVal>
          <c:yVal>
            <c:numRef>
              <c:f>'Optical Components'!$C$2:$C$6</c:f>
              <c:numCache>
                <c:ptCount val="5"/>
                <c:pt idx="0">
                  <c:v>280</c:v>
                </c:pt>
                <c:pt idx="1">
                  <c:v>82.35868032295866</c:v>
                </c:pt>
                <c:pt idx="2">
                  <c:v>292.9759011391433</c:v>
                </c:pt>
                <c:pt idx="3">
                  <c:v>292.9759011391433</c:v>
                </c:pt>
                <c:pt idx="4">
                  <c:v>265.55940277820605</c:v>
                </c:pt>
              </c:numCache>
            </c:numRef>
          </c:yVal>
          <c:smooth val="0"/>
        </c:ser>
        <c:ser>
          <c:idx val="1"/>
          <c:order val="1"/>
          <c:tx>
            <c:v>Flat Mirrors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'Flat Mirrors'!$F$20:$F$35</c:f>
              <c:numCache>
                <c:ptCount val="16"/>
                <c:pt idx="0">
                  <c:v>1330</c:v>
                </c:pt>
                <c:pt idx="1">
                  <c:v>1330</c:v>
                </c:pt>
                <c:pt idx="2">
                  <c:v>1330</c:v>
                </c:pt>
                <c:pt idx="3">
                  <c:v>1330</c:v>
                </c:pt>
                <c:pt idx="4">
                  <c:v>1235.862793503654</c:v>
                </c:pt>
                <c:pt idx="5">
                  <c:v>1235.862793503654</c:v>
                </c:pt>
                <c:pt idx="6">
                  <c:v>1235.862793503654</c:v>
                </c:pt>
                <c:pt idx="7">
                  <c:v>1235.862793503654</c:v>
                </c:pt>
                <c:pt idx="8">
                  <c:v>1235.1205816258905</c:v>
                </c:pt>
                <c:pt idx="9">
                  <c:v>1235.1205816258905</c:v>
                </c:pt>
                <c:pt idx="10">
                  <c:v>1235.1205816258905</c:v>
                </c:pt>
                <c:pt idx="11">
                  <c:v>1235.1205816258905</c:v>
                </c:pt>
                <c:pt idx="12">
                  <c:v>1140.9833751295446</c:v>
                </c:pt>
                <c:pt idx="13">
                  <c:v>1140.9833751295446</c:v>
                </c:pt>
                <c:pt idx="14">
                  <c:v>1140.9833751295446</c:v>
                </c:pt>
                <c:pt idx="15">
                  <c:v>1140.9833751295446</c:v>
                </c:pt>
              </c:numCache>
            </c:numRef>
          </c:xVal>
          <c:yVal>
            <c:numRef>
              <c:f>'Flat Mirrors'!$E$20:$E$35</c:f>
              <c:numCache>
                <c:ptCount val="16"/>
                <c:pt idx="0">
                  <c:v>350</c:v>
                </c:pt>
                <c:pt idx="1">
                  <c:v>350</c:v>
                </c:pt>
                <c:pt idx="2">
                  <c:v>350</c:v>
                </c:pt>
                <c:pt idx="3">
                  <c:v>350</c:v>
                </c:pt>
                <c:pt idx="4">
                  <c:v>718.6711764609004</c:v>
                </c:pt>
                <c:pt idx="5">
                  <c:v>718.6711764609004</c:v>
                </c:pt>
                <c:pt idx="6">
                  <c:v>718.6711764609004</c:v>
                </c:pt>
                <c:pt idx="7">
                  <c:v>718.6711764609004</c:v>
                </c:pt>
                <c:pt idx="8">
                  <c:v>721.5779137260323</c:v>
                </c:pt>
                <c:pt idx="9">
                  <c:v>721.5779137260323</c:v>
                </c:pt>
                <c:pt idx="10">
                  <c:v>721.5779137260323</c:v>
                </c:pt>
                <c:pt idx="11">
                  <c:v>721.5779137260323</c:v>
                </c:pt>
                <c:pt idx="12">
                  <c:v>1090.2490901869326</c:v>
                </c:pt>
                <c:pt idx="13">
                  <c:v>1090.2490901869326</c:v>
                </c:pt>
                <c:pt idx="14">
                  <c:v>1090.2490901869326</c:v>
                </c:pt>
                <c:pt idx="15">
                  <c:v>1090.2490901869326</c:v>
                </c:pt>
              </c:numCache>
            </c:numRef>
          </c:yVal>
          <c:smooth val="0"/>
        </c:ser>
        <c:ser>
          <c:idx val="2"/>
          <c:order val="2"/>
          <c:tx>
            <c:v>Beampipe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'Optical Components'!$I$47:$I$51</c:f>
              <c:numCache>
                <c:ptCount val="5"/>
                <c:pt idx="0">
                  <c:v>1000</c:v>
                </c:pt>
                <c:pt idx="1">
                  <c:v>2000</c:v>
                </c:pt>
                <c:pt idx="2">
                  <c:v>2000</c:v>
                </c:pt>
                <c:pt idx="3">
                  <c:v>1000</c:v>
                </c:pt>
                <c:pt idx="4">
                  <c:v>1000</c:v>
                </c:pt>
              </c:numCache>
            </c:numRef>
          </c:xVal>
          <c:yVal>
            <c:numRef>
              <c:f>'Optical Components'!$H$47:$H$51</c:f>
              <c:numCache>
                <c:ptCount val="5"/>
                <c:pt idx="0">
                  <c:v>26</c:v>
                </c:pt>
                <c:pt idx="1">
                  <c:v>51</c:v>
                </c:pt>
                <c:pt idx="2">
                  <c:v>-51</c:v>
                </c:pt>
                <c:pt idx="3">
                  <c:v>-26</c:v>
                </c:pt>
                <c:pt idx="4">
                  <c:v>26</c:v>
                </c:pt>
              </c:numCache>
            </c:numRef>
          </c:yVal>
          <c:smooth val="0"/>
        </c:ser>
        <c:ser>
          <c:idx val="3"/>
          <c:order val="3"/>
          <c:tx>
            <c:v>Spherical Mirrors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'Optical Components'!$P$38:$P$59</c:f>
              <c:numCache>
                <c:ptCount val="22"/>
                <c:pt idx="0">
                  <c:v>1903</c:v>
                </c:pt>
                <c:pt idx="1">
                  <c:v>1905</c:v>
                </c:pt>
                <c:pt idx="2">
                  <c:v>1912</c:v>
                </c:pt>
                <c:pt idx="3">
                  <c:v>1916</c:v>
                </c:pt>
                <c:pt idx="4">
                  <c:v>1919</c:v>
                </c:pt>
                <c:pt idx="5">
                  <c:v>1923</c:v>
                </c:pt>
                <c:pt idx="6">
                  <c:v>1926</c:v>
                </c:pt>
                <c:pt idx="7">
                  <c:v>1933</c:v>
                </c:pt>
                <c:pt idx="8">
                  <c:v>1940</c:v>
                </c:pt>
                <c:pt idx="9">
                  <c:v>1946</c:v>
                </c:pt>
                <c:pt idx="10">
                  <c:v>1952</c:v>
                </c:pt>
                <c:pt idx="11">
                  <c:v>1959</c:v>
                </c:pt>
                <c:pt idx="12">
                  <c:v>1964</c:v>
                </c:pt>
                <c:pt idx="13">
                  <c:v>1970</c:v>
                </c:pt>
                <c:pt idx="14">
                  <c:v>1975</c:v>
                </c:pt>
                <c:pt idx="15">
                  <c:v>1988</c:v>
                </c:pt>
                <c:pt idx="16">
                  <c:v>1999</c:v>
                </c:pt>
                <c:pt idx="17">
                  <c:v>2009</c:v>
                </c:pt>
                <c:pt idx="18">
                  <c:v>2018</c:v>
                </c:pt>
                <c:pt idx="19">
                  <c:v>2025</c:v>
                </c:pt>
                <c:pt idx="20">
                  <c:v>2030</c:v>
                </c:pt>
                <c:pt idx="21">
                  <c:v>2033</c:v>
                </c:pt>
              </c:numCache>
            </c:numRef>
          </c:xVal>
          <c:yVal>
            <c:numRef>
              <c:f>'Optical Components'!$N$38:$N$59</c:f>
              <c:numCache>
                <c:ptCount val="22"/>
                <c:pt idx="0">
                  <c:v>1</c:v>
                </c:pt>
                <c:pt idx="1">
                  <c:v>7</c:v>
                </c:pt>
                <c:pt idx="2">
                  <c:v>30</c:v>
                </c:pt>
                <c:pt idx="3">
                  <c:v>41</c:v>
                </c:pt>
                <c:pt idx="4">
                  <c:v>53</c:v>
                </c:pt>
                <c:pt idx="5">
                  <c:v>65</c:v>
                </c:pt>
                <c:pt idx="6">
                  <c:v>76</c:v>
                </c:pt>
                <c:pt idx="7">
                  <c:v>100</c:v>
                </c:pt>
                <c:pt idx="8">
                  <c:v>124</c:v>
                </c:pt>
                <c:pt idx="9">
                  <c:v>148</c:v>
                </c:pt>
                <c:pt idx="10">
                  <c:v>172</c:v>
                </c:pt>
                <c:pt idx="11">
                  <c:v>196</c:v>
                </c:pt>
                <c:pt idx="12">
                  <c:v>220</c:v>
                </c:pt>
                <c:pt idx="13">
                  <c:v>245</c:v>
                </c:pt>
                <c:pt idx="14">
                  <c:v>270</c:v>
                </c:pt>
                <c:pt idx="15">
                  <c:v>332</c:v>
                </c:pt>
                <c:pt idx="16">
                  <c:v>395</c:v>
                </c:pt>
                <c:pt idx="17">
                  <c:v>459</c:v>
                </c:pt>
                <c:pt idx="18">
                  <c:v>524</c:v>
                </c:pt>
                <c:pt idx="19">
                  <c:v>590</c:v>
                </c:pt>
                <c:pt idx="20">
                  <c:v>655</c:v>
                </c:pt>
                <c:pt idx="21">
                  <c:v>721</c:v>
                </c:pt>
              </c:numCache>
            </c:numRef>
          </c:yVal>
          <c:smooth val="0"/>
        </c:ser>
        <c:ser>
          <c:idx val="4"/>
          <c:order val="4"/>
          <c:tx>
            <c:v>bracket points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'Optical Components'!$J$60:$J$62</c:f>
              <c:numCache>
                <c:ptCount val="3"/>
                <c:pt idx="0">
                  <c:v>1219.1021072964177</c:v>
                </c:pt>
                <c:pt idx="1">
                  <c:v>1292.093946938099</c:v>
                </c:pt>
                <c:pt idx="2">
                  <c:v>1164.2839089237827</c:v>
                </c:pt>
              </c:numCache>
            </c:numRef>
          </c:xVal>
          <c:yVal>
            <c:numRef>
              <c:f>'Optical Components'!$I$60:$I$62</c:f>
              <c:numCache>
                <c:ptCount val="3"/>
                <c:pt idx="0">
                  <c:v>210.88559197762555</c:v>
                </c:pt>
                <c:pt idx="1">
                  <c:v>189.6058393548156</c:v>
                </c:pt>
                <c:pt idx="2">
                  <c:v>226.8670730078921</c:v>
                </c:pt>
              </c:numCache>
            </c:numRef>
          </c:yVal>
          <c:smooth val="0"/>
        </c:ser>
        <c:ser>
          <c:idx val="5"/>
          <c:order val="5"/>
          <c:tx>
            <c:v>bracket wall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'Optical Components'!$I$37</c:f>
              <c:numCache>
                <c:ptCount val="1"/>
                <c:pt idx="0">
                  <c:v>1080</c:v>
                </c:pt>
              </c:numCache>
            </c:numRef>
          </c:xVal>
          <c:yVal>
            <c:numRef>
              <c:f>'Optical Components'!$K$54</c:f>
              <c:numCache>
                <c:ptCount val="1"/>
                <c:pt idx="0">
                  <c:v>251.43887090730215</c:v>
                </c:pt>
              </c:numCache>
            </c:numRef>
          </c:yVal>
          <c:smooth val="0"/>
        </c:ser>
        <c:axId val="21106036"/>
        <c:axId val="55736597"/>
      </c:scatterChart>
      <c:valAx>
        <c:axId val="21106036"/>
        <c:scaling>
          <c:orientation val="minMax"/>
          <c:min val="800"/>
        </c:scaling>
        <c:axPos val="b"/>
        <c:delete val="0"/>
        <c:numFmt formatCode="General" sourceLinked="1"/>
        <c:majorTickMark val="out"/>
        <c:minorTickMark val="none"/>
        <c:tickLblPos val="nextTo"/>
        <c:crossAx val="55736597"/>
        <c:crosses val="autoZero"/>
        <c:crossBetween val="midCat"/>
        <c:dispUnits/>
      </c:valAx>
      <c:valAx>
        <c:axId val="557365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10603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15"/>
          <c:y val="0.0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925"/>
          <c:y val="0.02325"/>
          <c:w val="0.37875"/>
          <c:h val="0.92525"/>
        </c:manualLayout>
      </c:layout>
      <c:scatterChart>
        <c:scatterStyle val="lineMarker"/>
        <c:varyColors val="0"/>
        <c:ser>
          <c:idx val="0"/>
          <c:order val="0"/>
          <c:tx>
            <c:v>Plate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'Optical Components'!$P$66:$P$70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170</c:v>
                </c:pt>
                <c:pt idx="3">
                  <c:v>170</c:v>
                </c:pt>
                <c:pt idx="4">
                  <c:v>0</c:v>
                </c:pt>
              </c:numCache>
            </c:numRef>
          </c:xVal>
          <c:yVal>
            <c:numRef>
              <c:f>'Optical Components'!$Q$66:$Q$70</c:f>
              <c:numCache>
                <c:ptCount val="5"/>
                <c:pt idx="0">
                  <c:v>0</c:v>
                </c:pt>
                <c:pt idx="1">
                  <c:v>220</c:v>
                </c:pt>
                <c:pt idx="2">
                  <c:v>220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Components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'Optical Components'!$P$71:$P$73</c:f>
              <c:numCache>
                <c:ptCount val="3"/>
                <c:pt idx="0">
                  <c:v>74.1133646063322</c:v>
                </c:pt>
                <c:pt idx="1">
                  <c:v>134.3617225206592</c:v>
                </c:pt>
                <c:pt idx="2">
                  <c:v>114.65050447501494</c:v>
                </c:pt>
              </c:numCache>
            </c:numRef>
          </c:xVal>
          <c:yVal>
            <c:numRef>
              <c:f>'Optical Components'!$Q$71:$Q$73</c:f>
              <c:numCache>
                <c:ptCount val="3"/>
                <c:pt idx="0">
                  <c:v>114.89294215472418</c:v>
                </c:pt>
                <c:pt idx="1">
                  <c:v>190.92343949602073</c:v>
                </c:pt>
                <c:pt idx="2">
                  <c:v>57.79265661478729</c:v>
                </c:pt>
              </c:numCache>
            </c:numRef>
          </c:yVal>
          <c:smooth val="0"/>
        </c:ser>
        <c:ser>
          <c:idx val="2"/>
          <c:order val="2"/>
          <c:tx>
            <c:v>Mount Holes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'Optical Components'!$P$80:$P$85</c:f>
              <c:numCache>
                <c:ptCount val="6"/>
                <c:pt idx="0">
                  <c:v>60.35473613428919</c:v>
                </c:pt>
                <c:pt idx="1">
                  <c:v>87.87199307837521</c:v>
                </c:pt>
                <c:pt idx="2">
                  <c:v>153.18394814346334</c:v>
                </c:pt>
                <c:pt idx="3">
                  <c:v>115.53949689785509</c:v>
                </c:pt>
                <c:pt idx="4">
                  <c:v>106.22745746691288</c:v>
                </c:pt>
                <c:pt idx="5">
                  <c:v>123.073551483117</c:v>
                </c:pt>
              </c:numCache>
            </c:numRef>
          </c:xVal>
          <c:yVal>
            <c:numRef>
              <c:f>'Optical Components'!$Q$80:$Q$85</c:f>
              <c:numCache>
                <c:ptCount val="6"/>
                <c:pt idx="0">
                  <c:v>129.408456012948</c:v>
                </c:pt>
                <c:pt idx="1">
                  <c:v>100.37742829650037</c:v>
                </c:pt>
                <c:pt idx="2">
                  <c:v>197.68537875959416</c:v>
                </c:pt>
                <c:pt idx="3">
                  <c:v>184.1615002324473</c:v>
                </c:pt>
                <c:pt idx="4">
                  <c:v>75.93245482478133</c:v>
                </c:pt>
                <c:pt idx="5">
                  <c:v>39.65285840479325</c:v>
                </c:pt>
              </c:numCache>
            </c:numRef>
          </c:yVal>
          <c:smooth val="0"/>
        </c:ser>
        <c:axId val="31867326"/>
        <c:axId val="18370479"/>
      </c:scatterChart>
      <c:valAx>
        <c:axId val="318673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latin typeface="Arial"/>
                    <a:ea typeface="Arial"/>
                    <a:cs typeface="Arial"/>
                  </a:rPr>
                  <a:t>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370479"/>
        <c:crosses val="autoZero"/>
        <c:crossBetween val="midCat"/>
        <c:dispUnits/>
      </c:valAx>
      <c:valAx>
        <c:axId val="183704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latin typeface="Arial"/>
                    <a:ea typeface="Arial"/>
                    <a:cs typeface="Arial"/>
                  </a:rPr>
                  <a:t>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8673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875"/>
          <c:y val="0.40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6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2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7"/>
  <sheetViews>
    <sheetView tabSelected="1" workbookViewId="0" topLeftCell="A88">
      <selection activeCell="H115" sqref="H115"/>
    </sheetView>
  </sheetViews>
  <sheetFormatPr defaultColWidth="9.140625" defaultRowHeight="12.75"/>
  <cols>
    <col min="1" max="1" width="23.57421875" style="0" customWidth="1"/>
    <col min="2" max="2" width="14.7109375" style="0" customWidth="1"/>
    <col min="3" max="3" width="10.00390625" style="0" bestFit="1" customWidth="1"/>
    <col min="4" max="4" width="10.8515625" style="0" customWidth="1"/>
    <col min="5" max="5" width="10.421875" style="0" customWidth="1"/>
    <col min="6" max="6" width="12.8515625" style="0" customWidth="1"/>
    <col min="8" max="8" width="11.57421875" style="0" customWidth="1"/>
    <col min="9" max="9" width="10.00390625" style="0" customWidth="1"/>
    <col min="12" max="12" width="16.57421875" style="0" customWidth="1"/>
    <col min="15" max="15" width="9.57421875" style="0" bestFit="1" customWidth="1"/>
  </cols>
  <sheetData>
    <row r="1" spans="1:16" ht="12.75">
      <c r="A1" s="12" t="s">
        <v>49</v>
      </c>
      <c r="B1" s="2" t="s">
        <v>2</v>
      </c>
      <c r="C1" s="2" t="s">
        <v>3</v>
      </c>
      <c r="D1" s="3" t="s">
        <v>19</v>
      </c>
      <c r="F1" s="1" t="s">
        <v>8</v>
      </c>
      <c r="G1" s="2" t="s">
        <v>2</v>
      </c>
      <c r="H1" s="2" t="s">
        <v>3</v>
      </c>
      <c r="I1" s="2" t="s">
        <v>19</v>
      </c>
      <c r="J1" s="3" t="s">
        <v>15</v>
      </c>
      <c r="L1" s="1" t="s">
        <v>11</v>
      </c>
      <c r="M1" s="2" t="s">
        <v>2</v>
      </c>
      <c r="N1" s="2" t="s">
        <v>3</v>
      </c>
      <c r="O1" s="2" t="s">
        <v>19</v>
      </c>
      <c r="P1" s="3" t="s">
        <v>15</v>
      </c>
    </row>
    <row r="2" spans="1:16" ht="12.75">
      <c r="A2" s="4" t="s">
        <v>0</v>
      </c>
      <c r="B2" s="13">
        <v>-775</v>
      </c>
      <c r="C2" s="13">
        <v>280</v>
      </c>
      <c r="D2" s="14">
        <v>1250</v>
      </c>
      <c r="F2" s="4" t="s">
        <v>4</v>
      </c>
      <c r="G2" s="5">
        <f>B2-B3</f>
        <v>-745</v>
      </c>
      <c r="H2" s="5">
        <f>C2-C3</f>
        <v>197.64131967704134</v>
      </c>
      <c r="I2" s="5">
        <f>D3-D2</f>
        <v>677.9309782470555</v>
      </c>
      <c r="J2" s="6">
        <f>SQRT((H2*H2)+(G2*G2)+(I2*I2))</f>
        <v>1026.487945623665</v>
      </c>
      <c r="L2" s="4" t="s">
        <v>12</v>
      </c>
      <c r="M2" s="5">
        <f>B2-B6</f>
        <v>-54.43317696833924</v>
      </c>
      <c r="N2" s="5">
        <f>C6-C2</f>
        <v>-14.44059722179395</v>
      </c>
      <c r="O2" s="5">
        <f>D6-D2</f>
        <v>49.53280122314277</v>
      </c>
      <c r="P2" s="6">
        <f>SQRT((O2*O2)+(M2*M2)+(N2*N2))</f>
        <v>74.99999999999996</v>
      </c>
    </row>
    <row r="3" spans="1:16" ht="12.75">
      <c r="A3" s="4" t="s">
        <v>20</v>
      </c>
      <c r="B3" s="13">
        <v>-30</v>
      </c>
      <c r="C3" s="15">
        <f>C10-C42*SIN(B14)</f>
        <v>82.35868032295866</v>
      </c>
      <c r="D3" s="16">
        <f>D10+C42*COS(B14)</f>
        <v>1927.9309782470555</v>
      </c>
      <c r="F3" s="4" t="s">
        <v>5</v>
      </c>
      <c r="G3" s="5">
        <f>B3-B4</f>
        <v>-730</v>
      </c>
      <c r="H3" s="5">
        <f>C4-C5</f>
        <v>0</v>
      </c>
      <c r="I3" s="5">
        <f>D3-D4</f>
        <v>722.4397144125039</v>
      </c>
      <c r="J3" s="6">
        <f>SQRT((H3*H3)+(G3*G3)+(I3*I3))</f>
        <v>1027.04388463221</v>
      </c>
      <c r="L3" s="4" t="s">
        <v>13</v>
      </c>
      <c r="M3" s="5">
        <f>B6-B5</f>
        <v>-1420.5668230316608</v>
      </c>
      <c r="N3" s="5">
        <f>C6-C5</f>
        <v>-27.416498360937226</v>
      </c>
      <c r="O3" s="5">
        <f>D6-D5</f>
        <v>94.04153738859122</v>
      </c>
      <c r="P3" s="6">
        <f>SQRT((O3*O3)+(M3*M3)+(N3*N3))</f>
        <v>1423.9401580948024</v>
      </c>
    </row>
    <row r="4" spans="1:16" ht="12.75">
      <c r="A4" s="4" t="s">
        <v>1</v>
      </c>
      <c r="B4" s="13">
        <v>700</v>
      </c>
      <c r="C4" s="15">
        <f>C10-C43*SIN(B14)</f>
        <v>292.9759011391433</v>
      </c>
      <c r="D4" s="16">
        <f>D10+C43*COS(B14)</f>
        <v>1205.4912638345515</v>
      </c>
      <c r="F4" s="4"/>
      <c r="G4" s="5"/>
      <c r="H4" s="5"/>
      <c r="I4" s="5"/>
      <c r="J4" s="6"/>
      <c r="L4" s="4" t="s">
        <v>14</v>
      </c>
      <c r="M4" s="5">
        <f>B5-B4</f>
        <v>0</v>
      </c>
      <c r="N4" s="5">
        <f>C5-C4</f>
        <v>0</v>
      </c>
      <c r="O4" s="5">
        <f>D5-D4</f>
        <v>0</v>
      </c>
      <c r="P4" s="6">
        <f>SQRT((O4*O4)+(M4*M4)+(N4*N4))</f>
        <v>0</v>
      </c>
    </row>
    <row r="5" spans="1:16" ht="13.5" thickBot="1">
      <c r="A5" s="4" t="s">
        <v>9</v>
      </c>
      <c r="B5" s="17">
        <f>B4</f>
        <v>700</v>
      </c>
      <c r="C5" s="17">
        <f>C10-TAN(B14)*(D5-D10)</f>
        <v>292.9759011391433</v>
      </c>
      <c r="D5" s="22">
        <f>D4</f>
        <v>1205.4912638345515</v>
      </c>
      <c r="F5" s="7" t="s">
        <v>16</v>
      </c>
      <c r="G5" s="8">
        <f>J3+J2</f>
        <v>2053.531830255875</v>
      </c>
      <c r="H5" s="8"/>
      <c r="I5" s="8"/>
      <c r="J5" s="9"/>
      <c r="L5" s="7" t="s">
        <v>16</v>
      </c>
      <c r="M5" s="8"/>
      <c r="N5" s="8"/>
      <c r="O5" s="8"/>
      <c r="P5" s="9">
        <f>P4+P3+P2</f>
        <v>1498.9401580948024</v>
      </c>
    </row>
    <row r="6" spans="1:4" ht="12.75">
      <c r="A6" s="4" t="s">
        <v>10</v>
      </c>
      <c r="B6" s="15">
        <f>B2+(B7/J2)*(B3-B2)</f>
        <v>-720.5668230316608</v>
      </c>
      <c r="C6" s="15">
        <f>C2+(B7/J2)*(C3-C2)</f>
        <v>265.55940277820605</v>
      </c>
      <c r="D6" s="16">
        <f>D2+(B7/J2)*(D3-D2)</f>
        <v>1299.5328012231428</v>
      </c>
    </row>
    <row r="7" spans="1:4" ht="13.5" thickBot="1">
      <c r="A7" s="7" t="s">
        <v>47</v>
      </c>
      <c r="B7" s="18">
        <v>75</v>
      </c>
      <c r="C7" s="19"/>
      <c r="D7" s="20"/>
    </row>
    <row r="8" ht="13.5" thickBot="1"/>
    <row r="9" spans="2:10" ht="12.75">
      <c r="B9" t="s">
        <v>2</v>
      </c>
      <c r="C9" t="s">
        <v>3</v>
      </c>
      <c r="D9" t="s">
        <v>19</v>
      </c>
      <c r="F9" s="1" t="s">
        <v>55</v>
      </c>
      <c r="G9" s="2" t="s">
        <v>2</v>
      </c>
      <c r="H9" s="2" t="s">
        <v>3</v>
      </c>
      <c r="I9" s="3" t="s">
        <v>19</v>
      </c>
      <c r="J9" s="36"/>
    </row>
    <row r="10" spans="1:10" ht="12.75">
      <c r="A10" t="s">
        <v>22</v>
      </c>
      <c r="B10">
        <v>0</v>
      </c>
      <c r="C10">
        <v>838</v>
      </c>
      <c r="D10">
        <v>-664</v>
      </c>
      <c r="F10" s="4"/>
      <c r="G10" s="5">
        <v>-800</v>
      </c>
      <c r="H10" s="5">
        <v>86</v>
      </c>
      <c r="I10" s="44">
        <v>1803</v>
      </c>
      <c r="J10" s="5"/>
    </row>
    <row r="11" spans="1:10" ht="12.75">
      <c r="A11" t="s">
        <v>21</v>
      </c>
      <c r="B11" s="37">
        <v>2700</v>
      </c>
      <c r="F11" s="4"/>
      <c r="G11" s="5">
        <v>-750</v>
      </c>
      <c r="H11" s="5">
        <v>86</v>
      </c>
      <c r="I11" s="6">
        <v>1818</v>
      </c>
      <c r="J11" s="5"/>
    </row>
    <row r="12" spans="6:10" ht="12.75">
      <c r="F12" s="4"/>
      <c r="G12" s="5">
        <v>-700</v>
      </c>
      <c r="H12" s="5">
        <v>86</v>
      </c>
      <c r="I12" s="6">
        <v>1833</v>
      </c>
      <c r="J12" s="5"/>
    </row>
    <row r="13" spans="1:10" ht="12.75">
      <c r="A13" t="s">
        <v>23</v>
      </c>
      <c r="F13" s="4"/>
      <c r="G13" s="36">
        <v>-650</v>
      </c>
      <c r="H13" s="36">
        <v>86</v>
      </c>
      <c r="I13" s="6">
        <v>1846</v>
      </c>
      <c r="J13" s="5"/>
    </row>
    <row r="14" spans="1:10" ht="12.75">
      <c r="A14" t="s">
        <v>46</v>
      </c>
      <c r="B14">
        <f>ATAN((C10-C2)/(D2-D10))</f>
        <v>0.28367372880683883</v>
      </c>
      <c r="C14">
        <f>DEGREES(B14)</f>
        <v>16.253307419370547</v>
      </c>
      <c r="F14" s="4"/>
      <c r="G14" s="5">
        <v>-600</v>
      </c>
      <c r="H14" s="5">
        <v>86</v>
      </c>
      <c r="I14" s="6">
        <v>1859</v>
      </c>
      <c r="J14" s="5"/>
    </row>
    <row r="15" spans="6:10" ht="12.75">
      <c r="F15" s="4"/>
      <c r="G15" s="5">
        <v>-500</v>
      </c>
      <c r="H15" s="5">
        <v>86</v>
      </c>
      <c r="I15" s="6">
        <v>1881</v>
      </c>
      <c r="J15" s="5"/>
    </row>
    <row r="16" spans="6:10" ht="12.75">
      <c r="F16" s="4"/>
      <c r="G16" s="5">
        <v>-400</v>
      </c>
      <c r="H16" s="5">
        <v>86</v>
      </c>
      <c r="I16" s="6">
        <v>1898</v>
      </c>
      <c r="J16" s="5"/>
    </row>
    <row r="17" spans="6:10" ht="13.5" thickBot="1">
      <c r="F17" s="4"/>
      <c r="G17" s="5">
        <v>-300</v>
      </c>
      <c r="H17" s="5">
        <v>86</v>
      </c>
      <c r="I17" s="6">
        <v>1912</v>
      </c>
      <c r="J17" s="5"/>
    </row>
    <row r="18" spans="2:15" ht="12.75">
      <c r="B18" t="s">
        <v>24</v>
      </c>
      <c r="C18" t="s">
        <v>26</v>
      </c>
      <c r="F18" s="4"/>
      <c r="G18" s="5">
        <v>-200</v>
      </c>
      <c r="H18" s="5">
        <v>86</v>
      </c>
      <c r="I18" s="6">
        <v>1921</v>
      </c>
      <c r="J18" s="5"/>
      <c r="L18" s="1" t="s">
        <v>51</v>
      </c>
      <c r="M18" s="2" t="s">
        <v>2</v>
      </c>
      <c r="N18" s="2" t="s">
        <v>3</v>
      </c>
      <c r="O18" s="3" t="s">
        <v>19</v>
      </c>
    </row>
    <row r="19" spans="1:15" ht="12.75">
      <c r="A19" t="s">
        <v>25</v>
      </c>
      <c r="B19">
        <f>(-1)*(B3-B2)/(D3-D2)</f>
        <v>-1.098931932460686</v>
      </c>
      <c r="C19">
        <f>B2-(B19*D2)</f>
        <v>598.6649155758575</v>
      </c>
      <c r="F19" s="4"/>
      <c r="G19" s="5">
        <v>-100</v>
      </c>
      <c r="H19" s="5">
        <v>86</v>
      </c>
      <c r="I19" s="6">
        <v>1927</v>
      </c>
      <c r="J19" s="5"/>
      <c r="L19" s="4" t="s">
        <v>0</v>
      </c>
      <c r="M19" s="5">
        <f>(-1)*B2</f>
        <v>775</v>
      </c>
      <c r="N19" s="15">
        <f aca="true" t="shared" si="0" ref="N19:O23">C2</f>
        <v>280</v>
      </c>
      <c r="O19" s="16">
        <f t="shared" si="0"/>
        <v>1250</v>
      </c>
    </row>
    <row r="20" spans="1:15" ht="12.75">
      <c r="A20" t="s">
        <v>27</v>
      </c>
      <c r="F20" s="4"/>
      <c r="G20" s="5">
        <v>-50</v>
      </c>
      <c r="H20" s="5">
        <v>86</v>
      </c>
      <c r="I20" s="6">
        <v>1929</v>
      </c>
      <c r="J20" s="5"/>
      <c r="L20" s="4" t="s">
        <v>20</v>
      </c>
      <c r="M20" s="5">
        <f>(-1)*B3</f>
        <v>30</v>
      </c>
      <c r="N20" s="15">
        <f t="shared" si="0"/>
        <v>82.35868032295866</v>
      </c>
      <c r="O20" s="16">
        <f t="shared" si="0"/>
        <v>1927.9309782470555</v>
      </c>
    </row>
    <row r="21" spans="1:15" ht="12.75">
      <c r="A21" t="s">
        <v>28</v>
      </c>
      <c r="F21" s="4"/>
      <c r="G21" s="5">
        <v>1</v>
      </c>
      <c r="H21" s="5">
        <v>86</v>
      </c>
      <c r="I21" s="6">
        <v>1929</v>
      </c>
      <c r="J21" s="5"/>
      <c r="L21" s="4" t="s">
        <v>1</v>
      </c>
      <c r="M21" s="5">
        <f>(-1)*B4</f>
        <v>-700</v>
      </c>
      <c r="N21" s="15">
        <f t="shared" si="0"/>
        <v>292.9759011391433</v>
      </c>
      <c r="O21" s="16">
        <f t="shared" si="0"/>
        <v>1205.4912638345515</v>
      </c>
    </row>
    <row r="22" spans="6:15" ht="12.75">
      <c r="F22" s="4"/>
      <c r="G22" s="5">
        <v>50</v>
      </c>
      <c r="H22" s="5">
        <v>86</v>
      </c>
      <c r="I22" s="6">
        <f>I20</f>
        <v>1929</v>
      </c>
      <c r="J22" s="5"/>
      <c r="L22" s="4" t="s">
        <v>9</v>
      </c>
      <c r="M22" s="5">
        <f>(-1)*B5</f>
        <v>-700</v>
      </c>
      <c r="N22" s="15">
        <f t="shared" si="0"/>
        <v>292.9759011391433</v>
      </c>
      <c r="O22" s="16">
        <f t="shared" si="0"/>
        <v>1205.4912638345515</v>
      </c>
    </row>
    <row r="23" spans="6:15" ht="13.5" thickBot="1">
      <c r="F23" s="4"/>
      <c r="G23" s="5">
        <v>100</v>
      </c>
      <c r="H23" s="5">
        <v>86</v>
      </c>
      <c r="I23" s="6">
        <f>I19</f>
        <v>1927</v>
      </c>
      <c r="J23" s="5"/>
      <c r="L23" s="7" t="s">
        <v>10</v>
      </c>
      <c r="M23" s="8">
        <f>(-1)*B6</f>
        <v>720.5668230316608</v>
      </c>
      <c r="N23" s="19">
        <f t="shared" si="0"/>
        <v>265.55940277820605</v>
      </c>
      <c r="O23" s="20">
        <f t="shared" si="0"/>
        <v>1299.5328012231428</v>
      </c>
    </row>
    <row r="24" spans="1:15" ht="13.5" thickBot="1">
      <c r="A24" s="12" t="s">
        <v>48</v>
      </c>
      <c r="B24" s="3"/>
      <c r="F24" s="4"/>
      <c r="G24" s="5">
        <v>200</v>
      </c>
      <c r="H24" s="5">
        <v>86</v>
      </c>
      <c r="I24" s="6">
        <f>I18</f>
        <v>1921</v>
      </c>
      <c r="J24" s="5"/>
      <c r="N24" s="21"/>
      <c r="O24" s="21"/>
    </row>
    <row r="25" spans="1:15" ht="12.75">
      <c r="A25" s="4" t="s">
        <v>6</v>
      </c>
      <c r="B25" s="10">
        <f>G5</f>
        <v>2053.531830255875</v>
      </c>
      <c r="F25" s="4"/>
      <c r="G25" s="5">
        <v>300</v>
      </c>
      <c r="H25" s="5">
        <v>86</v>
      </c>
      <c r="I25" s="6">
        <f>I17</f>
        <v>1912</v>
      </c>
      <c r="J25" s="5"/>
      <c r="L25" s="1" t="s">
        <v>52</v>
      </c>
      <c r="M25" s="2" t="s">
        <v>2</v>
      </c>
      <c r="N25" s="2"/>
      <c r="O25" s="3" t="s">
        <v>19</v>
      </c>
    </row>
    <row r="26" spans="1:15" ht="12.75">
      <c r="A26" s="4" t="s">
        <v>7</v>
      </c>
      <c r="B26" s="10">
        <f>P5</f>
        <v>1498.9401580948024</v>
      </c>
      <c r="F26" s="4"/>
      <c r="G26" s="5">
        <v>400</v>
      </c>
      <c r="H26" s="5">
        <v>86</v>
      </c>
      <c r="I26" s="6">
        <f>I16</f>
        <v>1898</v>
      </c>
      <c r="J26" s="5"/>
      <c r="L26" s="4"/>
      <c r="M26" s="5">
        <v>-890</v>
      </c>
      <c r="N26" s="5"/>
      <c r="O26" s="6">
        <v>1090</v>
      </c>
    </row>
    <row r="27" spans="1:15" ht="12.75">
      <c r="A27" s="4" t="s">
        <v>17</v>
      </c>
      <c r="B27" s="10">
        <f>B25-B26</f>
        <v>554.5916721610724</v>
      </c>
      <c r="F27" s="4"/>
      <c r="G27" s="5">
        <v>500</v>
      </c>
      <c r="H27" s="5">
        <v>86</v>
      </c>
      <c r="I27" s="6">
        <f>I15</f>
        <v>1881</v>
      </c>
      <c r="J27" s="5"/>
      <c r="L27" s="4"/>
      <c r="M27" s="5">
        <v>-680</v>
      </c>
      <c r="N27" s="5"/>
      <c r="O27" s="6">
        <v>1090</v>
      </c>
    </row>
    <row r="28" spans="1:15" ht="13.5" thickBot="1">
      <c r="A28" s="7" t="s">
        <v>18</v>
      </c>
      <c r="B28" s="11">
        <f>B27/B25</f>
        <v>0.2700672392752583</v>
      </c>
      <c r="F28" s="4"/>
      <c r="G28" s="5">
        <v>600</v>
      </c>
      <c r="H28" s="5">
        <v>86</v>
      </c>
      <c r="I28" s="6">
        <f>I14</f>
        <v>1859</v>
      </c>
      <c r="J28" s="5"/>
      <c r="L28" s="4"/>
      <c r="M28" s="5">
        <v>-680</v>
      </c>
      <c r="N28" s="5"/>
      <c r="O28" s="6">
        <v>1080</v>
      </c>
    </row>
    <row r="29" spans="6:15" ht="12.75">
      <c r="F29" s="4"/>
      <c r="G29" s="36">
        <v>650</v>
      </c>
      <c r="H29" s="36">
        <v>86</v>
      </c>
      <c r="I29" s="6">
        <f>I13</f>
        <v>1846</v>
      </c>
      <c r="J29" s="5"/>
      <c r="L29" s="4"/>
      <c r="M29" s="5" t="s">
        <v>2</v>
      </c>
      <c r="N29" s="5"/>
      <c r="O29" s="6" t="s">
        <v>19</v>
      </c>
    </row>
    <row r="30" spans="1:15" ht="12.75">
      <c r="A30" t="s">
        <v>141</v>
      </c>
      <c r="B30" s="37">
        <v>0.1</v>
      </c>
      <c r="F30" s="4"/>
      <c r="G30" s="5">
        <v>700</v>
      </c>
      <c r="H30" s="5">
        <v>86</v>
      </c>
      <c r="I30" s="6">
        <f>I12</f>
        <v>1833</v>
      </c>
      <c r="J30" s="5"/>
      <c r="L30" s="4"/>
      <c r="M30" s="5">
        <f>M26*(-1)</f>
        <v>890</v>
      </c>
      <c r="N30" s="5"/>
      <c r="O30" s="6">
        <f>O26</f>
        <v>1090</v>
      </c>
    </row>
    <row r="31" spans="1:15" ht="12.75">
      <c r="A31" t="s">
        <v>142</v>
      </c>
      <c r="B31">
        <f>500*(ATAN(B30/J3))</f>
        <v>0.04868341128373527</v>
      </c>
      <c r="F31" s="4"/>
      <c r="G31" s="36">
        <v>750</v>
      </c>
      <c r="H31" s="5">
        <v>86</v>
      </c>
      <c r="I31" s="6">
        <f>I11</f>
        <v>1818</v>
      </c>
      <c r="J31" s="5"/>
      <c r="L31" s="4"/>
      <c r="M31" s="5">
        <f>M27*(-1)</f>
        <v>680</v>
      </c>
      <c r="N31" s="5"/>
      <c r="O31" s="6">
        <f>O27</f>
        <v>1090</v>
      </c>
    </row>
    <row r="32" spans="1:15" ht="13.5" thickBot="1">
      <c r="A32" t="s">
        <v>40</v>
      </c>
      <c r="B32">
        <f>DEGREES(B31/1000)</f>
        <v>0.0027893539988576</v>
      </c>
      <c r="F32" s="7"/>
      <c r="G32" s="8">
        <v>800</v>
      </c>
      <c r="H32" s="8">
        <v>86</v>
      </c>
      <c r="I32" s="9">
        <f>I10</f>
        <v>1803</v>
      </c>
      <c r="J32" s="5"/>
      <c r="L32" s="7"/>
      <c r="M32" s="8">
        <f>M28*(-1)</f>
        <v>680</v>
      </c>
      <c r="N32" s="8"/>
      <c r="O32" s="9">
        <f>O28</f>
        <v>1080</v>
      </c>
    </row>
    <row r="34" spans="1:12" ht="12.75">
      <c r="A34" t="s">
        <v>29</v>
      </c>
      <c r="D34" t="s">
        <v>30</v>
      </c>
      <c r="L34" t="s">
        <v>53</v>
      </c>
    </row>
    <row r="35" spans="13:15" ht="13.5" thickBot="1">
      <c r="M35" s="23"/>
      <c r="N35" s="23"/>
      <c r="O35" s="23"/>
    </row>
    <row r="36" spans="2:15" ht="12.75">
      <c r="B36" t="s">
        <v>31</v>
      </c>
      <c r="C36" t="s">
        <v>32</v>
      </c>
      <c r="F36" s="1" t="s">
        <v>50</v>
      </c>
      <c r="G36" s="2" t="s">
        <v>2</v>
      </c>
      <c r="H36" s="2"/>
      <c r="I36" s="3" t="s">
        <v>19</v>
      </c>
      <c r="M36" s="24"/>
      <c r="N36" s="24"/>
      <c r="O36" s="24"/>
    </row>
    <row r="37" spans="1:16" ht="12.75">
      <c r="A37" t="s">
        <v>37</v>
      </c>
      <c r="B37">
        <v>0</v>
      </c>
      <c r="C37">
        <v>0</v>
      </c>
      <c r="F37" s="4"/>
      <c r="G37" s="5">
        <v>-890</v>
      </c>
      <c r="H37" s="5"/>
      <c r="I37" s="6">
        <v>1080</v>
      </c>
      <c r="L37" t="s">
        <v>54</v>
      </c>
      <c r="M37" s="21" t="s">
        <v>2</v>
      </c>
      <c r="N37" s="21" t="s">
        <v>3</v>
      </c>
      <c r="O37" s="21" t="s">
        <v>19</v>
      </c>
      <c r="P37" s="21" t="s">
        <v>140</v>
      </c>
    </row>
    <row r="38" spans="6:16" ht="12.75">
      <c r="F38" s="4"/>
      <c r="G38" s="5">
        <v>890</v>
      </c>
      <c r="H38" s="5"/>
      <c r="I38" s="6">
        <v>1080</v>
      </c>
      <c r="M38" s="21">
        <v>1</v>
      </c>
      <c r="N38" s="21">
        <v>1</v>
      </c>
      <c r="O38" s="21">
        <v>1883</v>
      </c>
      <c r="P38" s="21">
        <f>O38+20</f>
        <v>1903</v>
      </c>
    </row>
    <row r="39" spans="6:16" ht="13.5" thickBot="1">
      <c r="F39" s="4"/>
      <c r="G39" s="5">
        <v>890</v>
      </c>
      <c r="H39" s="5"/>
      <c r="I39" s="6">
        <v>2000</v>
      </c>
      <c r="M39" s="21"/>
      <c r="N39" s="21">
        <v>7</v>
      </c>
      <c r="O39" s="21">
        <v>1885</v>
      </c>
      <c r="P39" s="21">
        <f aca="true" t="shared" si="1" ref="P39:P59">O39+20</f>
        <v>1905</v>
      </c>
    </row>
    <row r="40" spans="1:16" ht="12.75">
      <c r="A40" s="1"/>
      <c r="B40" s="2" t="s">
        <v>31</v>
      </c>
      <c r="C40" s="3" t="s">
        <v>32</v>
      </c>
      <c r="F40" s="4"/>
      <c r="G40" s="5">
        <v>-890</v>
      </c>
      <c r="H40" s="5"/>
      <c r="I40" s="6">
        <v>2000</v>
      </c>
      <c r="M40" s="21"/>
      <c r="N40" s="21">
        <v>30</v>
      </c>
      <c r="O40" s="21">
        <v>1892</v>
      </c>
      <c r="P40" s="21">
        <f t="shared" si="1"/>
        <v>1912</v>
      </c>
    </row>
    <row r="41" spans="1:16" ht="13.5" thickBot="1">
      <c r="A41" s="4" t="s">
        <v>0</v>
      </c>
      <c r="B41" s="5">
        <f>B2</f>
        <v>-775</v>
      </c>
      <c r="C41" s="6">
        <f>SQRT((C10-C2)*(C10-C2)+(D2-D10)*(D2-D10))</f>
        <v>1993.680014445648</v>
      </c>
      <c r="F41" s="7"/>
      <c r="G41" s="8">
        <v>-890</v>
      </c>
      <c r="H41" s="8"/>
      <c r="I41" s="9">
        <v>1080</v>
      </c>
      <c r="M41" s="21"/>
      <c r="N41" s="21">
        <v>41</v>
      </c>
      <c r="O41" s="21">
        <v>1896</v>
      </c>
      <c r="P41" s="21">
        <f t="shared" si="1"/>
        <v>1916</v>
      </c>
    </row>
    <row r="42" spans="1:16" ht="12.75">
      <c r="A42" s="4" t="s">
        <v>33</v>
      </c>
      <c r="B42" s="5">
        <f>B3</f>
        <v>-30</v>
      </c>
      <c r="C42" s="6">
        <f>B11*(SIN(ACOS(B42/B11)))</f>
        <v>2699.8333281889827</v>
      </c>
      <c r="M42" s="21"/>
      <c r="N42" s="21">
        <v>53</v>
      </c>
      <c r="O42" s="21">
        <v>1899</v>
      </c>
      <c r="P42" s="21">
        <f t="shared" si="1"/>
        <v>1919</v>
      </c>
    </row>
    <row r="43" spans="1:16" ht="12.75">
      <c r="A43" s="4" t="s">
        <v>34</v>
      </c>
      <c r="B43" s="5">
        <f>B4</f>
        <v>700</v>
      </c>
      <c r="C43" s="6">
        <f>B56*B43+C56</f>
        <v>1947.318375071934</v>
      </c>
      <c r="M43" s="21"/>
      <c r="N43" s="21">
        <v>65</v>
      </c>
      <c r="O43" s="21">
        <v>1903</v>
      </c>
      <c r="P43" s="21">
        <f t="shared" si="1"/>
        <v>1923</v>
      </c>
    </row>
    <row r="44" spans="1:16" ht="13.5" thickBot="1">
      <c r="A44" s="42" t="s">
        <v>150</v>
      </c>
      <c r="B44" s="19">
        <f>B41+(B7/J2)*(B42-B41)</f>
        <v>-720.5668230316608</v>
      </c>
      <c r="C44" s="20">
        <f>C41+(B7/J2)*(C42-C41)</f>
        <v>2045.2748712158093</v>
      </c>
      <c r="M44" s="21"/>
      <c r="N44" s="21">
        <v>76</v>
      </c>
      <c r="O44" s="21">
        <v>1906</v>
      </c>
      <c r="P44" s="21">
        <f t="shared" si="1"/>
        <v>1926</v>
      </c>
    </row>
    <row r="45" spans="13:16" ht="12.75">
      <c r="M45" s="21"/>
      <c r="N45" s="21">
        <v>100</v>
      </c>
      <c r="O45" s="21">
        <v>1913</v>
      </c>
      <c r="P45" s="21">
        <f t="shared" si="1"/>
        <v>1933</v>
      </c>
    </row>
    <row r="46" spans="1:16" ht="13.5" thickBot="1">
      <c r="A46" t="s">
        <v>45</v>
      </c>
      <c r="F46" t="s">
        <v>139</v>
      </c>
      <c r="H46" t="s">
        <v>3</v>
      </c>
      <c r="I46" t="s">
        <v>19</v>
      </c>
      <c r="M46" s="21"/>
      <c r="N46" s="21">
        <v>124</v>
      </c>
      <c r="O46" s="21">
        <v>1920</v>
      </c>
      <c r="P46" s="21">
        <f t="shared" si="1"/>
        <v>1940</v>
      </c>
    </row>
    <row r="47" spans="1:16" ht="12.75">
      <c r="A47" s="1"/>
      <c r="B47" s="2" t="s">
        <v>24</v>
      </c>
      <c r="C47" s="2" t="s">
        <v>36</v>
      </c>
      <c r="D47" s="2"/>
      <c r="E47" s="3"/>
      <c r="H47">
        <f>((0.025*I47)+1)</f>
        <v>26</v>
      </c>
      <c r="I47">
        <v>1000</v>
      </c>
      <c r="M47" s="21"/>
      <c r="N47" s="21">
        <v>148</v>
      </c>
      <c r="O47" s="21">
        <v>1926</v>
      </c>
      <c r="P47" s="21">
        <f t="shared" si="1"/>
        <v>1946</v>
      </c>
    </row>
    <row r="48" spans="1:16" ht="12.75">
      <c r="A48" s="4" t="s">
        <v>25</v>
      </c>
      <c r="B48" s="5">
        <f>(B42-B41)/(C42-C41)</f>
        <v>1.0550116886809442</v>
      </c>
      <c r="C48" s="5">
        <f>C41-(B48*B41)</f>
        <v>2811.3140731733797</v>
      </c>
      <c r="D48" s="5"/>
      <c r="E48" s="6"/>
      <c r="H48">
        <f>((0.025*I48)+1)</f>
        <v>51</v>
      </c>
      <c r="I48">
        <v>2000</v>
      </c>
      <c r="M48" s="21"/>
      <c r="N48" s="21">
        <v>172</v>
      </c>
      <c r="O48" s="21">
        <v>1932</v>
      </c>
      <c r="P48" s="21">
        <f t="shared" si="1"/>
        <v>1952</v>
      </c>
    </row>
    <row r="49" spans="1:16" ht="12.75">
      <c r="A49" s="4" t="s">
        <v>35</v>
      </c>
      <c r="B49" s="5">
        <f>(C42-C37)/(B42-B37)</f>
        <v>-89.99444427296609</v>
      </c>
      <c r="C49" s="5">
        <f>C42-(B49*B42)</f>
        <v>0</v>
      </c>
      <c r="D49" s="5" t="s">
        <v>39</v>
      </c>
      <c r="E49" s="6" t="s">
        <v>40</v>
      </c>
      <c r="H49">
        <f>-H48</f>
        <v>-51</v>
      </c>
      <c r="I49">
        <v>2000</v>
      </c>
      <c r="M49" s="21"/>
      <c r="N49" s="21">
        <v>196</v>
      </c>
      <c r="O49" s="21">
        <v>1939</v>
      </c>
      <c r="P49" s="21">
        <f t="shared" si="1"/>
        <v>1959</v>
      </c>
    </row>
    <row r="50" spans="1:16" ht="12.75">
      <c r="A50" s="4" t="s">
        <v>38</v>
      </c>
      <c r="B50" s="5"/>
      <c r="C50" s="5"/>
      <c r="D50" s="5">
        <f>ATAN(ABS((B48-B49)/(1+B48*B49)))</f>
        <v>0.7697463688842476</v>
      </c>
      <c r="E50" s="6">
        <f>DEGREES(D50)</f>
        <v>44.10321823258759</v>
      </c>
      <c r="H50">
        <f>-H47</f>
        <v>-26</v>
      </c>
      <c r="I50">
        <v>1000</v>
      </c>
      <c r="M50" s="21"/>
      <c r="N50" s="21">
        <v>220</v>
      </c>
      <c r="O50" s="21">
        <v>1944</v>
      </c>
      <c r="P50" s="21">
        <f t="shared" si="1"/>
        <v>1964</v>
      </c>
    </row>
    <row r="51" spans="1:16" ht="12.75">
      <c r="A51" s="4" t="s">
        <v>41</v>
      </c>
      <c r="B51" s="5"/>
      <c r="C51" s="5"/>
      <c r="D51" s="5">
        <f>ATAN(ABS((C42/B42)))</f>
        <v>1.5596849870473979</v>
      </c>
      <c r="E51" s="6">
        <f>DEGREES(D51)</f>
        <v>89.36336712773237</v>
      </c>
      <c r="H51">
        <f>H47</f>
        <v>26</v>
      </c>
      <c r="I51">
        <v>1000</v>
      </c>
      <c r="M51" s="21"/>
      <c r="N51" s="21">
        <v>245</v>
      </c>
      <c r="O51" s="21">
        <v>1950</v>
      </c>
      <c r="P51" s="21">
        <f t="shared" si="1"/>
        <v>1970</v>
      </c>
    </row>
    <row r="52" spans="1:16" ht="12.75">
      <c r="A52" s="4" t="s">
        <v>42</v>
      </c>
      <c r="B52" s="5"/>
      <c r="C52" s="5"/>
      <c r="D52" s="5">
        <f>PI()-D51-D50</f>
        <v>0.8121612976581476</v>
      </c>
      <c r="E52" s="6">
        <f>DEGREES(D52)</f>
        <v>46.533414639680046</v>
      </c>
      <c r="N52" s="21">
        <v>270</v>
      </c>
      <c r="O52" s="21">
        <v>1955</v>
      </c>
      <c r="P52" s="21">
        <f t="shared" si="1"/>
        <v>1975</v>
      </c>
    </row>
    <row r="53" spans="1:16" ht="12.75">
      <c r="A53" s="4"/>
      <c r="B53" s="5" t="s">
        <v>31</v>
      </c>
      <c r="C53" s="5" t="s">
        <v>32</v>
      </c>
      <c r="D53" s="5"/>
      <c r="E53" s="6"/>
      <c r="N53" s="21">
        <v>332</v>
      </c>
      <c r="O53" s="21">
        <v>1968</v>
      </c>
      <c r="P53" s="21">
        <f t="shared" si="1"/>
        <v>1988</v>
      </c>
    </row>
    <row r="54" spans="1:16" ht="12.75">
      <c r="A54" s="4" t="s">
        <v>43</v>
      </c>
      <c r="B54" s="5">
        <f>(SQRT(C42*C42+B42*B42))*SIN(D50)/SIN(D52)</f>
        <v>2589.055370812546</v>
      </c>
      <c r="C54" s="5">
        <v>0</v>
      </c>
      <c r="D54" s="5"/>
      <c r="E54" s="6"/>
      <c r="G54" t="s">
        <v>178</v>
      </c>
      <c r="K54">
        <f>C10-((I37-D10)*TAN(B14))-(B63/(COS(B14)))</f>
        <v>251.43887090730215</v>
      </c>
      <c r="N54" s="21">
        <v>395</v>
      </c>
      <c r="O54" s="21">
        <v>1979</v>
      </c>
      <c r="P54" s="21">
        <f t="shared" si="1"/>
        <v>1999</v>
      </c>
    </row>
    <row r="55" spans="1:16" ht="12.75">
      <c r="A55" s="4"/>
      <c r="B55" s="5" t="s">
        <v>24</v>
      </c>
      <c r="C55" s="5" t="s">
        <v>44</v>
      </c>
      <c r="D55" s="5"/>
      <c r="E55" s="6"/>
      <c r="G55" t="s">
        <v>179</v>
      </c>
      <c r="J55">
        <v>20</v>
      </c>
      <c r="K55">
        <f>C10-((I37+J55-D10)*TAN(B14))-(B63/(COS(B14)))</f>
        <v>245.60814990416736</v>
      </c>
      <c r="N55" s="21">
        <v>459</v>
      </c>
      <c r="O55" s="21">
        <v>1989</v>
      </c>
      <c r="P55" s="21">
        <f t="shared" si="1"/>
        <v>2009</v>
      </c>
    </row>
    <row r="56" spans="1:16" ht="13.5" thickBot="1">
      <c r="A56" s="7" t="s">
        <v>28</v>
      </c>
      <c r="B56" s="8">
        <f>(C54-C42)/(B54-B42)</f>
        <v>-1.0308424015302036</v>
      </c>
      <c r="C56" s="8">
        <f>C54-B56*B54</f>
        <v>2668.9080561430765</v>
      </c>
      <c r="D56" s="8"/>
      <c r="E56" s="9"/>
      <c r="N56" s="21">
        <v>524</v>
      </c>
      <c r="O56" s="21">
        <v>1998</v>
      </c>
      <c r="P56" s="21">
        <f t="shared" si="1"/>
        <v>2018</v>
      </c>
    </row>
    <row r="57" spans="14:16" ht="13.5" thickBot="1">
      <c r="N57" s="21">
        <v>590</v>
      </c>
      <c r="O57" s="21">
        <v>2005</v>
      </c>
      <c r="P57" s="21">
        <f t="shared" si="1"/>
        <v>2025</v>
      </c>
    </row>
    <row r="58" spans="1:16" ht="12.75">
      <c r="A58" s="12" t="s">
        <v>171</v>
      </c>
      <c r="B58" s="2" t="s">
        <v>147</v>
      </c>
      <c r="C58" s="2" t="s">
        <v>78</v>
      </c>
      <c r="D58" s="43" t="s">
        <v>79</v>
      </c>
      <c r="E58" s="3" t="s">
        <v>148</v>
      </c>
      <c r="G58" s="12" t="s">
        <v>172</v>
      </c>
      <c r="H58" s="2"/>
      <c r="I58" s="2"/>
      <c r="J58" s="2"/>
      <c r="K58" s="2"/>
      <c r="L58" s="3"/>
      <c r="N58" s="21">
        <v>655</v>
      </c>
      <c r="O58" s="21">
        <v>2010</v>
      </c>
      <c r="P58" s="21">
        <f t="shared" si="1"/>
        <v>2030</v>
      </c>
    </row>
    <row r="59" spans="1:16" ht="12.75">
      <c r="A59" s="4" t="s">
        <v>143</v>
      </c>
      <c r="B59" s="38">
        <v>45</v>
      </c>
      <c r="C59" s="38">
        <v>50</v>
      </c>
      <c r="D59" s="38">
        <v>50</v>
      </c>
      <c r="E59" s="39">
        <v>15</v>
      </c>
      <c r="G59" s="4"/>
      <c r="H59" s="5" t="s">
        <v>2</v>
      </c>
      <c r="I59" s="5" t="s">
        <v>3</v>
      </c>
      <c r="J59" s="5" t="s">
        <v>19</v>
      </c>
      <c r="K59" s="5" t="s">
        <v>174</v>
      </c>
      <c r="L59" s="6" t="s">
        <v>173</v>
      </c>
      <c r="N59" s="21">
        <v>721</v>
      </c>
      <c r="O59" s="21">
        <v>2013</v>
      </c>
      <c r="P59" s="21">
        <f t="shared" si="1"/>
        <v>2033</v>
      </c>
    </row>
    <row r="60" spans="1:12" ht="12.75">
      <c r="A60" s="4" t="s">
        <v>144</v>
      </c>
      <c r="B60" s="38">
        <v>45</v>
      </c>
      <c r="C60" s="38">
        <v>50</v>
      </c>
      <c r="D60" s="38">
        <v>50</v>
      </c>
      <c r="E60" s="39">
        <v>15</v>
      </c>
      <c r="G60" s="4" t="s">
        <v>143</v>
      </c>
      <c r="H60" s="15">
        <f>D76</f>
        <v>-785.8866353936678</v>
      </c>
      <c r="I60" s="15">
        <f>E76-B63*COS(B14)</f>
        <v>210.88559197762555</v>
      </c>
      <c r="J60" s="15">
        <f>F76-B63*SIN(B14)</f>
        <v>1219.1021072964177</v>
      </c>
      <c r="K60" s="47">
        <f>M30+H60</f>
        <v>104.1133646063322</v>
      </c>
      <c r="L60" s="48">
        <f>(J60-I37)/COS(B14)</f>
        <v>144.89294215472418</v>
      </c>
    </row>
    <row r="61" spans="1:12" ht="12.75">
      <c r="A61" s="4" t="s">
        <v>145</v>
      </c>
      <c r="B61" s="38">
        <v>45</v>
      </c>
      <c r="C61" s="38">
        <v>50</v>
      </c>
      <c r="D61" s="38">
        <v>50</v>
      </c>
      <c r="E61" s="39">
        <v>15</v>
      </c>
      <c r="G61" s="4" t="s">
        <v>175</v>
      </c>
      <c r="H61" s="15">
        <f>D86</f>
        <v>-725.6382774793408</v>
      </c>
      <c r="I61" s="15">
        <f>E86-B63*COS(B14)</f>
        <v>189.6058393548156</v>
      </c>
      <c r="J61" s="15">
        <f>F86-B63*SIN(B14)</f>
        <v>1292.093946938099</v>
      </c>
      <c r="K61" s="47">
        <f>M30+H61</f>
        <v>164.3617225206592</v>
      </c>
      <c r="L61" s="48">
        <f>(J61-I37)/COS(B14)</f>
        <v>220.92343949602073</v>
      </c>
    </row>
    <row r="62" spans="1:15" ht="13.5" thickBot="1">
      <c r="A62" s="4" t="s">
        <v>146</v>
      </c>
      <c r="B62" s="38">
        <v>100</v>
      </c>
      <c r="C62" s="38">
        <v>50</v>
      </c>
      <c r="D62" s="38">
        <v>50</v>
      </c>
      <c r="E62" s="39">
        <v>50</v>
      </c>
      <c r="G62" s="4" t="s">
        <v>146</v>
      </c>
      <c r="H62" s="15">
        <f>D96</f>
        <v>745.3494955249851</v>
      </c>
      <c r="I62" s="15">
        <f>E96-B63*COS(B14)</f>
        <v>226.8670730078921</v>
      </c>
      <c r="J62" s="15">
        <f>F96-B63*SIN(B14)</f>
        <v>1164.2839089237827</v>
      </c>
      <c r="K62" s="47">
        <f>M30-H62</f>
        <v>144.65050447501494</v>
      </c>
      <c r="L62" s="48">
        <f>(J62-I37)/COS(B14)</f>
        <v>87.79265661478729</v>
      </c>
      <c r="O62" t="s">
        <v>187</v>
      </c>
    </row>
    <row r="63" spans="1:16" ht="13.5" thickBot="1">
      <c r="A63" s="45" t="s">
        <v>176</v>
      </c>
      <c r="B63" s="46">
        <v>75</v>
      </c>
      <c r="C63" s="40"/>
      <c r="D63" s="40"/>
      <c r="E63" s="41"/>
      <c r="G63" s="7"/>
      <c r="H63" s="8"/>
      <c r="I63" s="8"/>
      <c r="J63" s="8"/>
      <c r="K63" s="8" t="s">
        <v>177</v>
      </c>
      <c r="L63" s="9" t="s">
        <v>177</v>
      </c>
      <c r="O63" t="s">
        <v>186</v>
      </c>
      <c r="P63">
        <v>30</v>
      </c>
    </row>
    <row r="64" spans="15:18" ht="13.5" thickBot="1">
      <c r="O64" t="s">
        <v>185</v>
      </c>
      <c r="P64">
        <v>30</v>
      </c>
      <c r="R64" s="36"/>
    </row>
    <row r="65" spans="1:17" ht="12.75">
      <c r="A65" s="49" t="s">
        <v>166</v>
      </c>
      <c r="B65" s="50" t="s">
        <v>31</v>
      </c>
      <c r="C65" s="50" t="s">
        <v>32</v>
      </c>
      <c r="D65" s="50" t="s">
        <v>15</v>
      </c>
      <c r="E65" s="50" t="s">
        <v>153</v>
      </c>
      <c r="F65" s="51" t="s">
        <v>40</v>
      </c>
      <c r="G65" s="21"/>
      <c r="H65" s="21"/>
      <c r="I65" s="21"/>
      <c r="L65" s="21"/>
      <c r="M65" s="21"/>
      <c r="O65" s="49" t="s">
        <v>180</v>
      </c>
      <c r="P65" s="2" t="s">
        <v>181</v>
      </c>
      <c r="Q65" s="3" t="s">
        <v>182</v>
      </c>
    </row>
    <row r="66" spans="1:17" ht="12.75">
      <c r="A66" s="52" t="s">
        <v>152</v>
      </c>
      <c r="B66" s="15">
        <f>B42-B41</f>
        <v>745</v>
      </c>
      <c r="C66" s="15">
        <f>C42-C41</f>
        <v>706.1533137433346</v>
      </c>
      <c r="D66" s="15">
        <f>SQRT((C66*C66)+(B66*B66))</f>
        <v>1026.4879456236652</v>
      </c>
      <c r="E66" s="58">
        <f>ATAN(B66/C66)</f>
        <v>0.8121612976581478</v>
      </c>
      <c r="F66" s="60">
        <f>DEGREES(E66)</f>
        <v>46.53341463968006</v>
      </c>
      <c r="G66" s="21"/>
      <c r="H66" s="21"/>
      <c r="I66" s="21"/>
      <c r="J66" s="21"/>
      <c r="K66" s="21"/>
      <c r="L66" s="21"/>
      <c r="M66" s="21"/>
      <c r="O66" s="64" t="s">
        <v>183</v>
      </c>
      <c r="P66" s="5">
        <v>0</v>
      </c>
      <c r="Q66" s="6">
        <v>0</v>
      </c>
    </row>
    <row r="67" spans="1:17" ht="12.75">
      <c r="A67" s="52" t="s">
        <v>154</v>
      </c>
      <c r="B67" s="15">
        <f>B43-B42</f>
        <v>730</v>
      </c>
      <c r="C67" s="15">
        <f>C43-C42</f>
        <v>-752.5149531170487</v>
      </c>
      <c r="D67" s="15">
        <f>SQRT((C67*C67)+(B67*B67))</f>
        <v>1048.4172617163235</v>
      </c>
      <c r="E67" s="58">
        <f>PI()+ATAN(B67/C67)</f>
        <v>2.371380321756849</v>
      </c>
      <c r="F67" s="60">
        <f>DEGREES(E67)</f>
        <v>135.87008405704265</v>
      </c>
      <c r="G67" s="21"/>
      <c r="H67" s="21"/>
      <c r="I67" s="21"/>
      <c r="J67" s="21"/>
      <c r="K67" s="21"/>
      <c r="L67" s="21"/>
      <c r="M67" s="21"/>
      <c r="O67" s="4"/>
      <c r="P67" s="5">
        <v>0</v>
      </c>
      <c r="Q67" s="6">
        <f>250-P64</f>
        <v>220</v>
      </c>
    </row>
    <row r="68" spans="1:17" ht="13.5" thickBot="1">
      <c r="A68" s="53" t="s">
        <v>155</v>
      </c>
      <c r="B68" s="19">
        <f>B43-B44</f>
        <v>1420.5668230316608</v>
      </c>
      <c r="C68" s="19">
        <f>C43-C44</f>
        <v>-97.95649614387526</v>
      </c>
      <c r="D68" s="19">
        <f>SQRT((C68*C68)+(B68*B68))</f>
        <v>1423.9401580948024</v>
      </c>
      <c r="E68" s="59">
        <f>PI()+ATAN(B68/C68)</f>
        <v>1.6396432670395886</v>
      </c>
      <c r="F68" s="61">
        <f>DEGREES(E68)</f>
        <v>93.94463910841023</v>
      </c>
      <c r="G68" s="21"/>
      <c r="H68" s="21"/>
      <c r="I68" s="21"/>
      <c r="J68" s="21"/>
      <c r="K68" s="21"/>
      <c r="L68" s="21"/>
      <c r="M68" s="21"/>
      <c r="O68" s="4"/>
      <c r="P68" s="5">
        <f>200-P63</f>
        <v>170</v>
      </c>
      <c r="Q68" s="6">
        <f>Q67</f>
        <v>220</v>
      </c>
    </row>
    <row r="69" spans="1:17" ht="13.5" thickBo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O69" s="4"/>
      <c r="P69" s="5">
        <f>P68</f>
        <v>170</v>
      </c>
      <c r="Q69" s="6">
        <v>0</v>
      </c>
    </row>
    <row r="70" spans="1:17" ht="12.75">
      <c r="A70" s="49" t="s">
        <v>151</v>
      </c>
      <c r="B70" s="50" t="s">
        <v>31</v>
      </c>
      <c r="C70" s="50" t="s">
        <v>32</v>
      </c>
      <c r="D70" s="50" t="s">
        <v>2</v>
      </c>
      <c r="E70" s="50" t="s">
        <v>3</v>
      </c>
      <c r="F70" s="51" t="s">
        <v>19</v>
      </c>
      <c r="G70" s="21"/>
      <c r="H70" s="49" t="s">
        <v>151</v>
      </c>
      <c r="I70" s="50" t="s">
        <v>31</v>
      </c>
      <c r="J70" s="50" t="s">
        <v>32</v>
      </c>
      <c r="K70" s="50" t="s">
        <v>2</v>
      </c>
      <c r="L70" s="50" t="s">
        <v>3</v>
      </c>
      <c r="M70" s="51" t="s">
        <v>19</v>
      </c>
      <c r="O70" s="4"/>
      <c r="P70" s="5">
        <v>0</v>
      </c>
      <c r="Q70" s="6">
        <v>0</v>
      </c>
    </row>
    <row r="71" spans="1:17" ht="12.75">
      <c r="A71" s="52" t="s">
        <v>149</v>
      </c>
      <c r="B71" s="15">
        <f>B41-(C59/2)*COS(E66)</f>
        <v>-792.1982855900537</v>
      </c>
      <c r="C71" s="15">
        <f>C41+(C59/2)*SIN(E66)</f>
        <v>2011.824406768428</v>
      </c>
      <c r="D71" s="15">
        <f>B71</f>
        <v>-792.1982855900537</v>
      </c>
      <c r="E71" s="15">
        <f>C10-C71*SIN(B14)</f>
        <v>274.92166704649117</v>
      </c>
      <c r="F71" s="16">
        <f>D10+C71*COS(B14)</f>
        <v>1267.4192280878417</v>
      </c>
      <c r="G71" s="21"/>
      <c r="H71" s="52" t="s">
        <v>149</v>
      </c>
      <c r="I71" s="15">
        <f>-B71</f>
        <v>792.1982855900537</v>
      </c>
      <c r="J71" s="15">
        <f>C71</f>
        <v>2011.824406768428</v>
      </c>
      <c r="K71" s="15">
        <f>-D71</f>
        <v>792.1982855900537</v>
      </c>
      <c r="L71" s="15">
        <f>E71</f>
        <v>274.92166704649117</v>
      </c>
      <c r="M71" s="16">
        <f>F71</f>
        <v>1267.4192280878417</v>
      </c>
      <c r="O71" s="63" t="s">
        <v>151</v>
      </c>
      <c r="P71" s="15">
        <f>K60-P63</f>
        <v>74.1133646063322</v>
      </c>
      <c r="Q71" s="16">
        <f>L60-P64</f>
        <v>114.89294215472418</v>
      </c>
    </row>
    <row r="72" spans="1:17" ht="12.75">
      <c r="A72" s="52" t="s">
        <v>156</v>
      </c>
      <c r="B72" s="15">
        <f>B41+(C59/2)*COS(E66)</f>
        <v>-757.8017144099463</v>
      </c>
      <c r="C72" s="15">
        <f>C41-(C59/2)*SIN(E66)</f>
        <v>1975.5356221228683</v>
      </c>
      <c r="D72" s="15">
        <f>B72</f>
        <v>-757.8017144099463</v>
      </c>
      <c r="E72" s="15">
        <f>C10-C72*SIN(B14)</f>
        <v>285.0783329535087</v>
      </c>
      <c r="F72" s="16">
        <f>D10+C72*COS(B14)</f>
        <v>1232.580771912158</v>
      </c>
      <c r="G72" s="21"/>
      <c r="H72" s="52" t="s">
        <v>156</v>
      </c>
      <c r="I72" s="15">
        <f aca="true" t="shared" si="2" ref="I72:K76">-B72</f>
        <v>757.8017144099463</v>
      </c>
      <c r="J72" s="15">
        <f>C72</f>
        <v>1975.5356221228683</v>
      </c>
      <c r="K72" s="15">
        <f t="shared" si="2"/>
        <v>757.8017144099463</v>
      </c>
      <c r="L72" s="15">
        <f aca="true" t="shared" si="3" ref="L72:M76">E72</f>
        <v>285.0783329535087</v>
      </c>
      <c r="M72" s="16">
        <f t="shared" si="3"/>
        <v>1232.580771912158</v>
      </c>
      <c r="O72" s="4" t="s">
        <v>184</v>
      </c>
      <c r="P72" s="15">
        <f>K61-P63</f>
        <v>134.3617225206592</v>
      </c>
      <c r="Q72" s="16">
        <f>L61-P64</f>
        <v>190.92343949602073</v>
      </c>
    </row>
    <row r="73" spans="1:17" ht="13.5" thickBot="1">
      <c r="A73" s="52" t="s">
        <v>157</v>
      </c>
      <c r="B73" s="15">
        <f>B72-B59*SIN(E66)</f>
        <v>-790.4616205909499</v>
      </c>
      <c r="C73" s="15">
        <f>C72-B59*COS(E66)</f>
        <v>1944.5787080607715</v>
      </c>
      <c r="D73" s="15">
        <f>B73</f>
        <v>-790.4616205909499</v>
      </c>
      <c r="E73" s="15">
        <f>C10-C73*SIN(B14)</f>
        <v>293.7426912865851</v>
      </c>
      <c r="F73" s="16">
        <f>D10+C73*COS(B14)</f>
        <v>1202.8610911782723</v>
      </c>
      <c r="G73" s="21"/>
      <c r="H73" s="52" t="s">
        <v>157</v>
      </c>
      <c r="I73" s="15">
        <f t="shared" si="2"/>
        <v>790.4616205909499</v>
      </c>
      <c r="J73" s="15">
        <f>C73</f>
        <v>1944.5787080607715</v>
      </c>
      <c r="K73" s="15">
        <f t="shared" si="2"/>
        <v>790.4616205909499</v>
      </c>
      <c r="L73" s="15">
        <f t="shared" si="3"/>
        <v>293.7426912865851</v>
      </c>
      <c r="M73" s="16">
        <f t="shared" si="3"/>
        <v>1202.8610911782723</v>
      </c>
      <c r="O73" s="7" t="s">
        <v>167</v>
      </c>
      <c r="P73" s="19">
        <f>K62-P63</f>
        <v>114.65050447501494</v>
      </c>
      <c r="Q73" s="20">
        <f>L62-P64</f>
        <v>57.79265661478729</v>
      </c>
    </row>
    <row r="74" spans="1:13" ht="12.75">
      <c r="A74" s="52" t="s">
        <v>158</v>
      </c>
      <c r="B74" s="15">
        <f>B71-B59*SIN(E66)</f>
        <v>-824.8581917710574</v>
      </c>
      <c r="C74" s="15">
        <f>C71-B59*COS(E66)</f>
        <v>1980.8674927063312</v>
      </c>
      <c r="D74" s="15">
        <f>B74</f>
        <v>-824.8581917710574</v>
      </c>
      <c r="E74" s="15">
        <f>C10-C74*SIN(B14)</f>
        <v>283.58602537956756</v>
      </c>
      <c r="F74" s="16">
        <f>D10+C74*COS(B14)</f>
        <v>1237.6995473539562</v>
      </c>
      <c r="G74" s="21"/>
      <c r="H74" s="52" t="s">
        <v>158</v>
      </c>
      <c r="I74" s="15">
        <f t="shared" si="2"/>
        <v>824.8581917710574</v>
      </c>
      <c r="J74" s="15">
        <f>C74</f>
        <v>1980.8674927063312</v>
      </c>
      <c r="K74" s="15">
        <f t="shared" si="2"/>
        <v>824.8581917710574</v>
      </c>
      <c r="L74" s="15">
        <f t="shared" si="3"/>
        <v>283.58602537956756</v>
      </c>
      <c r="M74" s="16">
        <f t="shared" si="3"/>
        <v>1237.6995473539562</v>
      </c>
    </row>
    <row r="75" spans="1:18" ht="12.75">
      <c r="A75" s="52" t="s">
        <v>159</v>
      </c>
      <c r="B75" s="15"/>
      <c r="C75" s="15"/>
      <c r="D75" s="15">
        <f>D71</f>
        <v>-792.1982855900537</v>
      </c>
      <c r="E75" s="15">
        <f>E71</f>
        <v>274.92166704649117</v>
      </c>
      <c r="F75" s="16">
        <f>F71</f>
        <v>1267.4192280878417</v>
      </c>
      <c r="G75" s="21"/>
      <c r="H75" s="52" t="s">
        <v>159</v>
      </c>
      <c r="I75" s="15"/>
      <c r="J75" s="15"/>
      <c r="K75" s="54">
        <f>K71</f>
        <v>792.1982855900537</v>
      </c>
      <c r="L75" s="54">
        <f>L71</f>
        <v>274.92166704649117</v>
      </c>
      <c r="M75" s="54">
        <f>M71</f>
        <v>1267.4192280878417</v>
      </c>
      <c r="O75" t="s">
        <v>188</v>
      </c>
      <c r="R75">
        <v>20</v>
      </c>
    </row>
    <row r="76" spans="1:13" ht="13.5" thickBot="1">
      <c r="A76" s="55" t="s">
        <v>170</v>
      </c>
      <c r="B76" s="19">
        <f>B41-E59*SIN(E66)</f>
        <v>-785.8866353936678</v>
      </c>
      <c r="C76" s="19">
        <f>C41-E59*COS(E66)</f>
        <v>1983.3610430916158</v>
      </c>
      <c r="D76" s="56">
        <f>B76</f>
        <v>-785.8866353936678</v>
      </c>
      <c r="E76" s="19">
        <f>C10-C76*SIN(B14)</f>
        <v>282.88811944435884</v>
      </c>
      <c r="F76" s="20">
        <f>D10+C76*COS(B14)</f>
        <v>1240.0934397553713</v>
      </c>
      <c r="G76" s="21"/>
      <c r="H76" s="55" t="s">
        <v>170</v>
      </c>
      <c r="I76" s="19">
        <f t="shared" si="2"/>
        <v>785.8866353936678</v>
      </c>
      <c r="J76" s="19">
        <f>C76</f>
        <v>1983.3610430916158</v>
      </c>
      <c r="K76" s="19">
        <f t="shared" si="2"/>
        <v>785.8866353936678</v>
      </c>
      <c r="L76" s="19">
        <f t="shared" si="3"/>
        <v>282.88811944435884</v>
      </c>
      <c r="M76" s="20">
        <f t="shared" si="3"/>
        <v>1240.0934397553713</v>
      </c>
    </row>
    <row r="77" spans="1:13" ht="13.5" thickBo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</row>
    <row r="78" spans="1:17" ht="12.75">
      <c r="A78" s="49" t="s">
        <v>165</v>
      </c>
      <c r="B78" s="50" t="s">
        <v>161</v>
      </c>
      <c r="C78" s="50" t="s">
        <v>40</v>
      </c>
      <c r="D78" s="50" t="s">
        <v>164</v>
      </c>
      <c r="E78" s="50" t="s">
        <v>162</v>
      </c>
      <c r="F78" s="51"/>
      <c r="G78" s="21"/>
      <c r="H78" s="49" t="s">
        <v>165</v>
      </c>
      <c r="I78" s="50" t="s">
        <v>161</v>
      </c>
      <c r="J78" s="50" t="s">
        <v>40</v>
      </c>
      <c r="K78" s="50" t="s">
        <v>164</v>
      </c>
      <c r="L78" s="50" t="s">
        <v>162</v>
      </c>
      <c r="M78" s="51"/>
      <c r="O78" s="65" t="s">
        <v>189</v>
      </c>
      <c r="P78" s="2"/>
      <c r="Q78" s="3"/>
    </row>
    <row r="79" spans="1:17" ht="12.75">
      <c r="A79" s="52" t="s">
        <v>160</v>
      </c>
      <c r="B79" s="58">
        <f>E68+((E66+PI()-E68)/2)</f>
        <v>2.796698609143765</v>
      </c>
      <c r="C79" s="15">
        <f>DEGREES(B79)</f>
        <v>160.23902687404515</v>
      </c>
      <c r="D79" s="58">
        <f>B79-(PI()/2)</f>
        <v>1.2259022823488683</v>
      </c>
      <c r="E79" s="58">
        <f>PI()-B79</f>
        <v>0.3448940444460282</v>
      </c>
      <c r="F79" s="16"/>
      <c r="G79" s="21"/>
      <c r="H79" s="52" t="s">
        <v>160</v>
      </c>
      <c r="I79" s="15"/>
      <c r="J79" s="15"/>
      <c r="K79" s="15"/>
      <c r="L79" s="15"/>
      <c r="M79" s="16"/>
      <c r="O79" s="4"/>
      <c r="P79" s="5" t="s">
        <v>181</v>
      </c>
      <c r="Q79" s="6" t="s">
        <v>182</v>
      </c>
    </row>
    <row r="80" spans="1:17" ht="12.75">
      <c r="A80" s="52"/>
      <c r="B80" s="15" t="s">
        <v>31</v>
      </c>
      <c r="C80" s="15" t="s">
        <v>32</v>
      </c>
      <c r="D80" s="15" t="s">
        <v>2</v>
      </c>
      <c r="E80" s="15" t="s">
        <v>3</v>
      </c>
      <c r="F80" s="16" t="s">
        <v>19</v>
      </c>
      <c r="G80" s="21"/>
      <c r="H80" s="52"/>
      <c r="I80" s="15" t="s">
        <v>31</v>
      </c>
      <c r="J80" s="15" t="s">
        <v>32</v>
      </c>
      <c r="K80" s="15" t="s">
        <v>2</v>
      </c>
      <c r="L80" s="15" t="s">
        <v>3</v>
      </c>
      <c r="M80" s="16" t="s">
        <v>19</v>
      </c>
      <c r="O80" s="63" t="s">
        <v>190</v>
      </c>
      <c r="P80" s="66">
        <f>P71+R75*(COS(PI()-E66))</f>
        <v>60.35473613428919</v>
      </c>
      <c r="Q80" s="60">
        <f>Q71+R75*(SIN(PI()-E66))</f>
        <v>129.408456012948</v>
      </c>
    </row>
    <row r="81" spans="1:17" ht="12.75">
      <c r="A81" s="52" t="s">
        <v>163</v>
      </c>
      <c r="B81" s="15">
        <f>B44-(C60/2)*SIN(D79)</f>
        <v>-744.0946050601659</v>
      </c>
      <c r="C81" s="15">
        <f>C44-(C60/2)*COS(D79)</f>
        <v>2036.8224471363426</v>
      </c>
      <c r="D81" s="15">
        <f>B81</f>
        <v>-744.0946050601659</v>
      </c>
      <c r="E81" s="15">
        <f>C10-C81*SIN(B14)</f>
        <v>267.92510469735475</v>
      </c>
      <c r="F81" s="16">
        <f>D10+C81*COS(B14)</f>
        <v>1291.4181892639122</v>
      </c>
      <c r="G81" s="21"/>
      <c r="H81" s="52" t="s">
        <v>163</v>
      </c>
      <c r="I81" s="15">
        <f>-B81</f>
        <v>744.0946050601659</v>
      </c>
      <c r="J81" s="15">
        <f>C81</f>
        <v>2036.8224471363426</v>
      </c>
      <c r="K81" s="15">
        <f>-D81</f>
        <v>744.0946050601659</v>
      </c>
      <c r="L81" s="15">
        <f>E81</f>
        <v>267.92510469735475</v>
      </c>
      <c r="M81" s="16">
        <f>F81</f>
        <v>1291.4181892639122</v>
      </c>
      <c r="O81" s="4" t="s">
        <v>191</v>
      </c>
      <c r="P81" s="66">
        <f>P71-R75*(COS(PI()-E66))</f>
        <v>87.87199307837521</v>
      </c>
      <c r="Q81" s="60">
        <f>Q71-R75*(SIN(PI()-E66))</f>
        <v>100.37742829650037</v>
      </c>
    </row>
    <row r="82" spans="1:17" ht="12.75">
      <c r="A82" s="52" t="s">
        <v>156</v>
      </c>
      <c r="B82" s="15">
        <f>B44+(C60/2)*SIN(D79)</f>
        <v>-697.0390410031556</v>
      </c>
      <c r="C82" s="15">
        <f>C44+(C60/2)*COS(D79)</f>
        <v>2053.7272952952762</v>
      </c>
      <c r="D82" s="15">
        <f>B82</f>
        <v>-697.0390410031556</v>
      </c>
      <c r="E82" s="15">
        <f>C10-C82*SIN(B14)</f>
        <v>263.19370085905734</v>
      </c>
      <c r="F82" s="16">
        <f>D10+C82*COS(B14)</f>
        <v>1307.6474131823732</v>
      </c>
      <c r="G82" s="21"/>
      <c r="H82" s="52" t="s">
        <v>156</v>
      </c>
      <c r="I82" s="15">
        <f>-B82</f>
        <v>697.0390410031556</v>
      </c>
      <c r="J82" s="15">
        <f aca="true" t="shared" si="4" ref="J82:M86">C82</f>
        <v>2053.7272952952762</v>
      </c>
      <c r="K82" s="15">
        <f>-D82</f>
        <v>697.0390410031556</v>
      </c>
      <c r="L82" s="15">
        <f t="shared" si="4"/>
        <v>263.19370085905734</v>
      </c>
      <c r="M82" s="16">
        <f t="shared" si="4"/>
        <v>1307.6474131823732</v>
      </c>
      <c r="O82" s="63" t="s">
        <v>192</v>
      </c>
      <c r="P82" s="66">
        <f>P72+R75*(COS(PI()-B79))</f>
        <v>153.18394814346334</v>
      </c>
      <c r="Q82" s="60">
        <f>Q72+R75*(SIN(PI()-B79))</f>
        <v>197.68537875959416</v>
      </c>
    </row>
    <row r="83" spans="1:17" ht="12.75">
      <c r="A83" s="52" t="s">
        <v>157</v>
      </c>
      <c r="B83" s="15">
        <f>B82-B60*SIN(E79)</f>
        <v>-712.2534043461958</v>
      </c>
      <c r="C83" s="15">
        <f>C82+B60*COS(E79)</f>
        <v>2096.0773029465854</v>
      </c>
      <c r="D83" s="15">
        <f>B83</f>
        <v>-712.2534043461958</v>
      </c>
      <c r="E83" s="15">
        <f>C10-C83*SIN(B14)</f>
        <v>251.34059298908585</v>
      </c>
      <c r="F83" s="16">
        <f>D10+C83*COS(B14)</f>
        <v>1348.3048477041032</v>
      </c>
      <c r="G83" s="21"/>
      <c r="H83" s="52" t="s">
        <v>157</v>
      </c>
      <c r="I83" s="15">
        <f>-B83</f>
        <v>712.2534043461958</v>
      </c>
      <c r="J83" s="15">
        <f t="shared" si="4"/>
        <v>2096.0773029465854</v>
      </c>
      <c r="K83" s="15">
        <f>-D83</f>
        <v>712.2534043461958</v>
      </c>
      <c r="L83" s="15">
        <f t="shared" si="4"/>
        <v>251.34059298908585</v>
      </c>
      <c r="M83" s="16">
        <f t="shared" si="4"/>
        <v>1348.3048477041032</v>
      </c>
      <c r="O83" s="4" t="s">
        <v>193</v>
      </c>
      <c r="P83" s="66">
        <f>P72-R75*(COS(PI()-B79))</f>
        <v>115.53949689785509</v>
      </c>
      <c r="Q83" s="60">
        <f>Q72-R75*(SIN(PI()-B79))</f>
        <v>184.1615002324473</v>
      </c>
    </row>
    <row r="84" spans="1:17" ht="12.75">
      <c r="A84" s="52" t="s">
        <v>158</v>
      </c>
      <c r="B84" s="15">
        <f>B81-B60*SIN(E79)</f>
        <v>-759.3089684032061</v>
      </c>
      <c r="C84" s="15">
        <f>C81+B60*COS(E79)</f>
        <v>2079.172454787652</v>
      </c>
      <c r="D84" s="15">
        <f>B84</f>
        <v>-759.3089684032061</v>
      </c>
      <c r="E84" s="15">
        <f>C10-C84*SIN(B14)</f>
        <v>256.07199682738315</v>
      </c>
      <c r="F84" s="16">
        <f>D10+C84*COS(B14)</f>
        <v>1332.0756237856424</v>
      </c>
      <c r="G84" s="21"/>
      <c r="H84" s="52" t="s">
        <v>158</v>
      </c>
      <c r="I84" s="15">
        <f>-B84</f>
        <v>759.3089684032061</v>
      </c>
      <c r="J84" s="15">
        <f t="shared" si="4"/>
        <v>2079.172454787652</v>
      </c>
      <c r="K84" s="15">
        <f>-D84</f>
        <v>759.3089684032061</v>
      </c>
      <c r="L84" s="15">
        <f t="shared" si="4"/>
        <v>256.07199682738315</v>
      </c>
      <c r="M84" s="16">
        <f t="shared" si="4"/>
        <v>1332.0756237856424</v>
      </c>
      <c r="O84" s="63" t="s">
        <v>194</v>
      </c>
      <c r="P84" s="66">
        <f>P73+R75*(COS(PI()-F89))</f>
        <v>106.22745746691288</v>
      </c>
      <c r="Q84" s="60">
        <f>Q73+R75*(SIN(PI()-F89))</f>
        <v>75.93245482478133</v>
      </c>
    </row>
    <row r="85" spans="1:17" ht="13.5" thickBot="1">
      <c r="A85" s="52" t="s">
        <v>159</v>
      </c>
      <c r="B85" s="15"/>
      <c r="C85" s="15"/>
      <c r="D85" s="15">
        <f>D81</f>
        <v>-744.0946050601659</v>
      </c>
      <c r="E85" s="15">
        <f>E81</f>
        <v>267.92510469735475</v>
      </c>
      <c r="F85" s="16">
        <f>F81</f>
        <v>1291.4181892639122</v>
      </c>
      <c r="G85" s="21"/>
      <c r="H85" s="52" t="s">
        <v>159</v>
      </c>
      <c r="I85" s="15"/>
      <c r="J85" s="15"/>
      <c r="K85" s="54">
        <f>K81</f>
        <v>744.0946050601659</v>
      </c>
      <c r="L85" s="54">
        <f>L81</f>
        <v>267.92510469735475</v>
      </c>
      <c r="M85" s="54">
        <f>M81</f>
        <v>1291.4181892639122</v>
      </c>
      <c r="O85" s="7" t="s">
        <v>195</v>
      </c>
      <c r="P85" s="67">
        <f>P73-R75*(COS(PI()-F89))</f>
        <v>123.073551483117</v>
      </c>
      <c r="Q85" s="61">
        <f>Q73-R75*(SIN(PI()-F89))</f>
        <v>39.65285840479325</v>
      </c>
    </row>
    <row r="86" spans="1:13" ht="13.5" thickBot="1">
      <c r="A86" s="55" t="s">
        <v>170</v>
      </c>
      <c r="B86" s="19">
        <f>B44-E60*SIN(E79)</f>
        <v>-725.6382774793408</v>
      </c>
      <c r="C86" s="19">
        <f>C44+E60*COS(E79)</f>
        <v>2059.3915404329123</v>
      </c>
      <c r="D86" s="56">
        <f>B86</f>
        <v>-725.6382774793408</v>
      </c>
      <c r="E86" s="19">
        <f>C10-C86*SIN(B14)</f>
        <v>261.6083668215489</v>
      </c>
      <c r="F86" s="20">
        <f>D10+C86*COS(B14)</f>
        <v>1313.0852793970525</v>
      </c>
      <c r="G86" s="21"/>
      <c r="H86" s="55" t="s">
        <v>170</v>
      </c>
      <c r="I86" s="19">
        <f>-B86</f>
        <v>725.6382774793408</v>
      </c>
      <c r="J86" s="19">
        <f t="shared" si="4"/>
        <v>2059.3915404329123</v>
      </c>
      <c r="K86" s="19">
        <f>-D86</f>
        <v>725.6382774793408</v>
      </c>
      <c r="L86" s="19">
        <f t="shared" si="4"/>
        <v>261.6083668215489</v>
      </c>
      <c r="M86" s="20">
        <f t="shared" si="4"/>
        <v>1313.0852793970525</v>
      </c>
    </row>
    <row r="87" spans="1:13" ht="13.5" thickBo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</row>
    <row r="88" spans="1:13" ht="12.75">
      <c r="A88" s="49" t="s">
        <v>167</v>
      </c>
      <c r="B88" s="50" t="s">
        <v>161</v>
      </c>
      <c r="C88" s="50" t="s">
        <v>40</v>
      </c>
      <c r="D88" s="50" t="s">
        <v>168</v>
      </c>
      <c r="E88" s="57" t="s">
        <v>40</v>
      </c>
      <c r="F88" s="51" t="s">
        <v>169</v>
      </c>
      <c r="G88" s="21"/>
      <c r="H88" s="49" t="s">
        <v>167</v>
      </c>
      <c r="I88" s="50" t="s">
        <v>161</v>
      </c>
      <c r="J88" s="50" t="s">
        <v>40</v>
      </c>
      <c r="K88" s="50" t="s">
        <v>168</v>
      </c>
      <c r="L88" s="57" t="s">
        <v>40</v>
      </c>
      <c r="M88" s="51" t="s">
        <v>169</v>
      </c>
    </row>
    <row r="89" spans="1:13" ht="12.75">
      <c r="A89" s="52" t="s">
        <v>160</v>
      </c>
      <c r="B89" s="58">
        <f>E68+(E67-E68)/2</f>
        <v>2.0055117943982186</v>
      </c>
      <c r="C89" s="15">
        <f>F68+(F67-F68)/2</f>
        <v>114.90736158272644</v>
      </c>
      <c r="D89" s="58">
        <f>B89-PI()/2</f>
        <v>0.434715467603322</v>
      </c>
      <c r="E89" s="15">
        <f>DEGREES(D89)</f>
        <v>24.90736158272642</v>
      </c>
      <c r="F89" s="62">
        <f>PI()-B89</f>
        <v>1.1360808591915745</v>
      </c>
      <c r="G89" s="21"/>
      <c r="H89" s="52" t="s">
        <v>160</v>
      </c>
      <c r="I89" s="15"/>
      <c r="J89" s="15"/>
      <c r="K89" s="15"/>
      <c r="L89" s="15"/>
      <c r="M89" s="16"/>
    </row>
    <row r="90" spans="1:13" ht="12.75">
      <c r="A90" s="52"/>
      <c r="B90" s="15" t="s">
        <v>31</v>
      </c>
      <c r="C90" s="15" t="s">
        <v>32</v>
      </c>
      <c r="D90" s="15" t="s">
        <v>2</v>
      </c>
      <c r="E90" s="15" t="s">
        <v>3</v>
      </c>
      <c r="F90" s="16" t="s">
        <v>19</v>
      </c>
      <c r="G90" s="21"/>
      <c r="H90" s="52"/>
      <c r="I90" s="15" t="s">
        <v>31</v>
      </c>
      <c r="J90" s="15" t="s">
        <v>32</v>
      </c>
      <c r="K90" s="15" t="s">
        <v>2</v>
      </c>
      <c r="L90" s="15" t="s">
        <v>3</v>
      </c>
      <c r="M90" s="16" t="s">
        <v>19</v>
      </c>
    </row>
    <row r="91" spans="1:13" ht="12.75">
      <c r="A91" s="52" t="s">
        <v>163</v>
      </c>
      <c r="B91" s="15">
        <f>B43-(C62/2)*SIN(D89)</f>
        <v>689.4711912398724</v>
      </c>
      <c r="C91" s="15">
        <f>C43-(C62/2)*COS(D89)</f>
        <v>1924.6436273094414</v>
      </c>
      <c r="D91" s="15">
        <f>B91</f>
        <v>689.4711912398724</v>
      </c>
      <c r="E91" s="15">
        <f>C10-C91*SIN(B14)</f>
        <v>299.32221005521524</v>
      </c>
      <c r="F91" s="16">
        <f>D10+C91*COS(B14)</f>
        <v>1183.7227418536165</v>
      </c>
      <c r="G91" s="21"/>
      <c r="H91" s="52" t="s">
        <v>163</v>
      </c>
      <c r="I91" s="15">
        <f>-B91</f>
        <v>-689.4711912398724</v>
      </c>
      <c r="J91" s="15">
        <f>C91</f>
        <v>1924.6436273094414</v>
      </c>
      <c r="K91" s="15">
        <f>-D91</f>
        <v>-689.4711912398724</v>
      </c>
      <c r="L91" s="15">
        <f>E91</f>
        <v>299.32221005521524</v>
      </c>
      <c r="M91" s="16">
        <f>F91</f>
        <v>1183.7227418536165</v>
      </c>
    </row>
    <row r="92" spans="1:13" ht="12.75">
      <c r="A92" s="52" t="s">
        <v>156</v>
      </c>
      <c r="B92" s="15">
        <f>B43+(C62/2)*SIN(D89)</f>
        <v>710.5288087601276</v>
      </c>
      <c r="C92" s="15">
        <f>C43+(C62/2)*COS(D89)</f>
        <v>1969.9931228344267</v>
      </c>
      <c r="D92" s="15">
        <f>B92</f>
        <v>710.5288087601276</v>
      </c>
      <c r="E92" s="15">
        <f>C10-C92*SIN(B14)</f>
        <v>286.6295922230713</v>
      </c>
      <c r="F92" s="16">
        <f>D10+C92*COS(B14)</f>
        <v>1227.2597858154866</v>
      </c>
      <c r="G92" s="21"/>
      <c r="H92" s="52" t="s">
        <v>156</v>
      </c>
      <c r="I92" s="15">
        <f>-B92</f>
        <v>-710.5288087601276</v>
      </c>
      <c r="J92" s="15">
        <f>C92</f>
        <v>1969.9931228344267</v>
      </c>
      <c r="K92" s="15">
        <f>-D92</f>
        <v>-710.5288087601276</v>
      </c>
      <c r="L92" s="15">
        <f aca="true" t="shared" si="5" ref="L92:M96">E92</f>
        <v>286.6295922230713</v>
      </c>
      <c r="M92" s="16">
        <f t="shared" si="5"/>
        <v>1227.2597858154866</v>
      </c>
    </row>
    <row r="93" spans="1:13" ht="12.75">
      <c r="A93" s="52" t="s">
        <v>157</v>
      </c>
      <c r="B93" s="15">
        <f>B92+SIN(F89)*B62</f>
        <v>801.2277998100978</v>
      </c>
      <c r="C93" s="15">
        <f>C92-COS(F89)*B62</f>
        <v>1927.8778877939164</v>
      </c>
      <c r="D93" s="15">
        <f>B93</f>
        <v>801.2277998100978</v>
      </c>
      <c r="E93" s="15">
        <f>C10-C93*SIN(B14)</f>
        <v>298.4169908940356</v>
      </c>
      <c r="F93" s="16">
        <f>D10+C93*COS(B14)</f>
        <v>1186.8277409118562</v>
      </c>
      <c r="G93" s="21"/>
      <c r="H93" s="52" t="s">
        <v>157</v>
      </c>
      <c r="I93" s="15">
        <f>-B93</f>
        <v>-801.2277998100978</v>
      </c>
      <c r="J93" s="15">
        <f>C93</f>
        <v>1927.8778877939164</v>
      </c>
      <c r="K93" s="15">
        <f>-D93</f>
        <v>-801.2277998100978</v>
      </c>
      <c r="L93" s="15">
        <f t="shared" si="5"/>
        <v>298.4169908940356</v>
      </c>
      <c r="M93" s="16">
        <f t="shared" si="5"/>
        <v>1186.8277409118562</v>
      </c>
    </row>
    <row r="94" spans="1:13" ht="12.75">
      <c r="A94" s="52" t="s">
        <v>158</v>
      </c>
      <c r="B94" s="15">
        <f>B91+SIN(F89)*B62</f>
        <v>780.1701822898426</v>
      </c>
      <c r="C94" s="15">
        <f>C91-COS(F89)*B62</f>
        <v>1882.5283922689312</v>
      </c>
      <c r="D94" s="15">
        <f>B94</f>
        <v>780.1701822898426</v>
      </c>
      <c r="E94" s="15">
        <f>C10-C94*SIN(B14)</f>
        <v>311.10960872617954</v>
      </c>
      <c r="F94" s="16">
        <f>D10+C94*COS(B14)</f>
        <v>1143.2906969499863</v>
      </c>
      <c r="G94" s="21"/>
      <c r="H94" s="52" t="s">
        <v>158</v>
      </c>
      <c r="I94" s="15">
        <f>-B94</f>
        <v>-780.1701822898426</v>
      </c>
      <c r="J94" s="15">
        <f>C94</f>
        <v>1882.5283922689312</v>
      </c>
      <c r="K94" s="15">
        <f>-D94</f>
        <v>-780.1701822898426</v>
      </c>
      <c r="L94" s="15">
        <f t="shared" si="5"/>
        <v>311.10960872617954</v>
      </c>
      <c r="M94" s="16">
        <f t="shared" si="5"/>
        <v>1143.2906969499863</v>
      </c>
    </row>
    <row r="95" spans="1:13" ht="12.75">
      <c r="A95" s="52" t="s">
        <v>159</v>
      </c>
      <c r="B95" s="15"/>
      <c r="C95" s="15"/>
      <c r="D95" s="15">
        <f>D91</f>
        <v>689.4711912398724</v>
      </c>
      <c r="E95" s="15">
        <f>E91</f>
        <v>299.32221005521524</v>
      </c>
      <c r="F95" s="16">
        <f>F91</f>
        <v>1183.7227418536165</v>
      </c>
      <c r="G95" s="21"/>
      <c r="H95" s="52" t="s">
        <v>159</v>
      </c>
      <c r="I95" s="15"/>
      <c r="J95" s="15"/>
      <c r="K95" s="54">
        <f>K91</f>
        <v>-689.4711912398724</v>
      </c>
      <c r="L95" s="54">
        <f>L91</f>
        <v>299.32221005521524</v>
      </c>
      <c r="M95" s="54">
        <f>M91</f>
        <v>1183.7227418536165</v>
      </c>
    </row>
    <row r="96" spans="1:13" ht="13.5" thickBot="1">
      <c r="A96" s="55" t="s">
        <v>170</v>
      </c>
      <c r="B96" s="19">
        <f>B43+E62*SIN(F89)</f>
        <v>745.3494955249851</v>
      </c>
      <c r="C96" s="19">
        <f>C43-E62*COS(F89)</f>
        <v>1926.2607575516788</v>
      </c>
      <c r="D96" s="19">
        <f>B96</f>
        <v>745.3494955249851</v>
      </c>
      <c r="E96" s="19">
        <f>C10-C96*SIN(B14)</f>
        <v>298.8696004746254</v>
      </c>
      <c r="F96" s="20">
        <f>D10+C96*COS(B14)</f>
        <v>1185.2752413827363</v>
      </c>
      <c r="G96" s="21"/>
      <c r="H96" s="55" t="s">
        <v>170</v>
      </c>
      <c r="I96" s="19">
        <f>-B96</f>
        <v>-745.3494955249851</v>
      </c>
      <c r="J96" s="19">
        <f>C96</f>
        <v>1926.2607575516788</v>
      </c>
      <c r="K96" s="19">
        <f>-D96</f>
        <v>-745.3494955249851</v>
      </c>
      <c r="L96" s="19">
        <f t="shared" si="5"/>
        <v>298.8696004746254</v>
      </c>
      <c r="M96" s="20">
        <f t="shared" si="5"/>
        <v>1185.2752413827363</v>
      </c>
    </row>
    <row r="102" ht="12.75">
      <c r="G102" t="s">
        <v>198</v>
      </c>
    </row>
    <row r="103" spans="7:9" ht="12.75">
      <c r="G103" t="s">
        <v>160</v>
      </c>
      <c r="H103" t="s">
        <v>196</v>
      </c>
      <c r="I103" t="s">
        <v>197</v>
      </c>
    </row>
    <row r="104" spans="7:9" ht="12.75">
      <c r="G104">
        <v>16.25</v>
      </c>
      <c r="H104">
        <f>SIN(DEGREES(G104))</f>
        <v>0.9107066427511396</v>
      </c>
      <c r="I104">
        <f>COS(DEGREES(G104))</f>
        <v>0.41305376266165184</v>
      </c>
    </row>
    <row r="105" spans="7:9" ht="12.75">
      <c r="G105">
        <f>90-G104</f>
        <v>73.75</v>
      </c>
      <c r="H105">
        <f>ABS(SIN(DEGREES(G105)))</f>
        <v>0.12132041095292835</v>
      </c>
      <c r="I105">
        <f>ABS(COS(DEGREES(G105)))</f>
        <v>0.9926133979985423</v>
      </c>
    </row>
    <row r="108" ht="12.75">
      <c r="G108">
        <f>250*H104</f>
        <v>227.67666068778487</v>
      </c>
    </row>
    <row r="109" ht="12.75">
      <c r="G109">
        <f>250*I104</f>
        <v>103.26344066541296</v>
      </c>
    </row>
    <row r="111" ht="12.75">
      <c r="G111">
        <f>61.4+70</f>
        <v>131.4</v>
      </c>
    </row>
    <row r="114" spans="8:9" ht="12.75">
      <c r="H114" t="s">
        <v>2</v>
      </c>
      <c r="I114" t="s">
        <v>3</v>
      </c>
    </row>
    <row r="115" spans="7:9" ht="12.75">
      <c r="G115">
        <v>4</v>
      </c>
      <c r="H115" s="68">
        <f>60*H104-7.5*H105</f>
        <v>53.732495482921415</v>
      </c>
      <c r="I115" s="68">
        <f>G111-60*I104-7.5*I105</f>
        <v>99.17217375531183</v>
      </c>
    </row>
    <row r="116" spans="7:9" ht="12.75">
      <c r="G116">
        <v>5</v>
      </c>
      <c r="H116" s="68">
        <f>140*H104-7.5*H105</f>
        <v>126.58902690301257</v>
      </c>
      <c r="I116" s="68">
        <f>G111-140*I104-7.5*I105</f>
        <v>66.12787274237968</v>
      </c>
    </row>
    <row r="117" spans="7:9" ht="12.75">
      <c r="G117">
        <v>6</v>
      </c>
      <c r="H117" s="68">
        <f>220*H104-7.5*H105</f>
        <v>199.44555832310374</v>
      </c>
      <c r="I117" s="68">
        <f>G111-220*I104-7.5*I105</f>
        <v>33.08357172944754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F37" sqref="F37"/>
    </sheetView>
  </sheetViews>
  <sheetFormatPr defaultColWidth="9.140625" defaultRowHeight="12.75"/>
  <cols>
    <col min="4" max="4" width="13.28125" style="0" customWidth="1"/>
    <col min="5" max="5" width="12.28125" style="0" customWidth="1"/>
    <col min="6" max="6" width="11.7109375" style="0" customWidth="1"/>
  </cols>
  <sheetData>
    <row r="1" spans="1:12" ht="18">
      <c r="A1" s="25" t="s">
        <v>56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 t="s">
        <v>57</v>
      </c>
    </row>
    <row r="2" spans="1:12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5.75">
      <c r="A3" s="26" t="s">
        <v>58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2.75">
      <c r="A4" s="24"/>
      <c r="B4" s="24"/>
      <c r="C4" s="24"/>
      <c r="D4" s="24"/>
      <c r="E4" s="23"/>
      <c r="F4" s="24" t="s">
        <v>59</v>
      </c>
      <c r="G4" s="24"/>
      <c r="H4" s="24"/>
      <c r="I4" s="24"/>
      <c r="J4" s="24"/>
      <c r="K4" s="24"/>
      <c r="L4" s="24"/>
    </row>
    <row r="5" spans="1:12" ht="12.75">
      <c r="A5" s="24" t="s">
        <v>60</v>
      </c>
      <c r="B5" s="24"/>
      <c r="C5" s="24"/>
      <c r="D5" s="24">
        <v>0.25</v>
      </c>
      <c r="E5" s="24"/>
      <c r="F5" s="24" t="s">
        <v>61</v>
      </c>
      <c r="G5" s="24"/>
      <c r="H5" s="24"/>
      <c r="I5" s="24"/>
      <c r="J5" s="24"/>
      <c r="K5" s="24"/>
      <c r="L5" s="24"/>
    </row>
    <row r="6" spans="1:12" ht="12.75">
      <c r="A6" s="24" t="s">
        <v>62</v>
      </c>
      <c r="B6" s="24"/>
      <c r="C6" s="24"/>
      <c r="D6" s="24">
        <v>350</v>
      </c>
      <c r="E6" s="24"/>
      <c r="F6" s="24" t="s">
        <v>61</v>
      </c>
      <c r="G6" s="24"/>
      <c r="H6" s="24"/>
      <c r="I6" s="24"/>
      <c r="J6" s="24"/>
      <c r="K6" s="24"/>
      <c r="L6" s="24"/>
    </row>
    <row r="7" spans="1:12" ht="12.75">
      <c r="A7" s="24" t="s">
        <v>63</v>
      </c>
      <c r="B7" s="24"/>
      <c r="C7" s="24"/>
      <c r="D7" s="24">
        <v>1330</v>
      </c>
      <c r="E7" s="24"/>
      <c r="F7" s="24" t="s">
        <v>64</v>
      </c>
      <c r="G7" s="24"/>
      <c r="H7" s="24"/>
      <c r="I7" s="24"/>
      <c r="J7" s="24"/>
      <c r="K7" s="24"/>
      <c r="L7" s="24"/>
    </row>
    <row r="8" spans="1:12" ht="12.75">
      <c r="A8" s="24" t="s">
        <v>65</v>
      </c>
      <c r="B8" s="24"/>
      <c r="C8" s="24"/>
      <c r="D8" s="24">
        <f>350</f>
        <v>350</v>
      </c>
      <c r="E8" s="24"/>
      <c r="F8" s="24" t="s">
        <v>66</v>
      </c>
      <c r="G8" s="24"/>
      <c r="H8" s="24"/>
      <c r="I8" s="24"/>
      <c r="J8" s="24"/>
      <c r="K8" s="24">
        <f>ATAN((1310-1118.4936)/(1100-350))</f>
        <v>0.24999994878483278</v>
      </c>
      <c r="L8" s="24"/>
    </row>
    <row r="9" spans="1:12" ht="12.75">
      <c r="A9" s="24" t="s">
        <v>67</v>
      </c>
      <c r="B9" s="24"/>
      <c r="C9" s="24"/>
      <c r="D9" s="24">
        <f>350</f>
        <v>350</v>
      </c>
      <c r="E9" s="24"/>
      <c r="F9" s="24" t="s">
        <v>66</v>
      </c>
      <c r="G9" s="24"/>
      <c r="H9" s="24"/>
      <c r="I9" s="24"/>
      <c r="J9" s="24"/>
      <c r="K9" s="24"/>
      <c r="L9" s="24"/>
    </row>
    <row r="10" spans="1:12" ht="12.75">
      <c r="A10" s="24" t="s">
        <v>68</v>
      </c>
      <c r="B10" s="24"/>
      <c r="C10" s="24"/>
      <c r="D10" s="24">
        <f>382</f>
        <v>382</v>
      </c>
      <c r="E10" s="24"/>
      <c r="F10" s="24" t="s">
        <v>69</v>
      </c>
      <c r="G10" s="24"/>
      <c r="H10" s="24"/>
      <c r="I10" s="24"/>
      <c r="J10" s="24"/>
      <c r="K10" s="24">
        <f>ATAN((1358.14-1140.75)/(1082.41-351.17))</f>
        <v>0.28896827857722185</v>
      </c>
      <c r="L10" s="24"/>
    </row>
    <row r="11" spans="1:12" ht="12.75">
      <c r="A11" s="24" t="s">
        <v>70</v>
      </c>
      <c r="B11" s="24"/>
      <c r="C11" s="24"/>
      <c r="D11" s="24">
        <v>3</v>
      </c>
      <c r="E11" s="24"/>
      <c r="F11" s="24"/>
      <c r="G11" s="24"/>
      <c r="H11" s="24"/>
      <c r="I11" s="24"/>
      <c r="J11" s="24"/>
      <c r="K11" s="24"/>
      <c r="L11" s="24"/>
    </row>
    <row r="12" spans="1:12" ht="12.7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spans="1:12" ht="15.75">
      <c r="A13" s="26" t="s">
        <v>71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1:12" ht="15.75">
      <c r="A14" s="26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1:12" ht="12.75">
      <c r="A15" s="27" t="s">
        <v>72</v>
      </c>
      <c r="B15" s="24"/>
      <c r="C15" s="24"/>
      <c r="D15" s="24">
        <f>$D$10*COS(0.25)</f>
        <v>370.1245450934663</v>
      </c>
      <c r="E15" s="24"/>
      <c r="F15" s="24"/>
      <c r="G15" s="24"/>
      <c r="H15" s="24"/>
      <c r="I15" s="24"/>
      <c r="J15" s="24"/>
      <c r="K15" s="24"/>
      <c r="L15" s="24"/>
    </row>
    <row r="16" spans="1:12" ht="12.75">
      <c r="A16" s="27" t="s">
        <v>73</v>
      </c>
      <c r="B16" s="24"/>
      <c r="C16" s="24"/>
      <c r="D16" s="24">
        <f>$D$10*SIN(0.25)</f>
        <v>94.50831243522777</v>
      </c>
      <c r="E16" s="24"/>
      <c r="F16" s="24"/>
      <c r="G16" s="24"/>
      <c r="H16" s="24"/>
      <c r="I16" s="24"/>
      <c r="J16" s="24"/>
      <c r="K16" s="24"/>
      <c r="L16" s="24"/>
    </row>
    <row r="17" spans="1:12" ht="12.75">
      <c r="A17" s="24" t="s">
        <v>74</v>
      </c>
      <c r="B17" s="24"/>
      <c r="C17" s="24"/>
      <c r="D17" s="24">
        <f>$D$11*COS(0.25)</f>
        <v>2.9067372651319343</v>
      </c>
      <c r="E17" s="24"/>
      <c r="F17" s="24"/>
      <c r="G17" s="24"/>
      <c r="H17" s="24"/>
      <c r="I17" s="24"/>
      <c r="J17" s="24"/>
      <c r="K17" s="24"/>
      <c r="L17" s="24"/>
    </row>
    <row r="18" spans="1:12" ht="12.75">
      <c r="A18" s="24" t="s">
        <v>75</v>
      </c>
      <c r="B18" s="24"/>
      <c r="C18" s="24"/>
      <c r="D18" s="24">
        <f>$D$11*SIN(0.25)</f>
        <v>0.7422118777635688</v>
      </c>
      <c r="E18" s="24"/>
      <c r="F18" s="24"/>
      <c r="G18" s="24"/>
      <c r="H18" s="24"/>
      <c r="I18" s="24"/>
      <c r="J18" s="24"/>
      <c r="K18" s="24"/>
      <c r="L18" s="24"/>
    </row>
    <row r="19" spans="1:12" ht="12.75">
      <c r="A19" s="24" t="s">
        <v>76</v>
      </c>
      <c r="B19" s="24"/>
      <c r="C19" s="24"/>
      <c r="D19" s="23" t="s">
        <v>2</v>
      </c>
      <c r="E19" s="23" t="s">
        <v>3</v>
      </c>
      <c r="F19" s="23" t="s">
        <v>19</v>
      </c>
      <c r="G19" s="23"/>
      <c r="H19" s="23" t="s">
        <v>77</v>
      </c>
      <c r="I19" s="23" t="s">
        <v>78</v>
      </c>
      <c r="J19" s="23" t="s">
        <v>79</v>
      </c>
      <c r="K19" s="24"/>
      <c r="L19" s="24"/>
    </row>
    <row r="20" spans="1:12" ht="12.75">
      <c r="A20" s="24" t="s">
        <v>80</v>
      </c>
      <c r="B20" s="24"/>
      <c r="C20" s="24"/>
      <c r="D20" s="24">
        <f>$D$11/2</f>
        <v>1.5</v>
      </c>
      <c r="E20" s="24">
        <f>$D$6</f>
        <v>350</v>
      </c>
      <c r="F20" s="24">
        <f>$D$7</f>
        <v>1330</v>
      </c>
      <c r="G20" s="24"/>
      <c r="H20" s="24"/>
      <c r="I20" s="24">
        <f>D21-D20</f>
        <v>347.75</v>
      </c>
      <c r="J20" s="24">
        <f>SQRT((E24-E20)^2+(F24-F20)^2)</f>
        <v>380.50000000000006</v>
      </c>
      <c r="K20" s="24"/>
      <c r="L20" s="24"/>
    </row>
    <row r="21" spans="1:12" ht="12.75">
      <c r="A21" s="24" t="s">
        <v>81</v>
      </c>
      <c r="B21" s="24"/>
      <c r="C21" s="24"/>
      <c r="D21" s="24">
        <f>D20+$D$8-0.75*$D$11</f>
        <v>349.25</v>
      </c>
      <c r="E21" s="24">
        <f aca="true" t="shared" si="0" ref="E21:F23">E20</f>
        <v>350</v>
      </c>
      <c r="F21" s="24">
        <f t="shared" si="0"/>
        <v>1330</v>
      </c>
      <c r="G21" s="24"/>
      <c r="H21" s="24"/>
      <c r="I21" s="24"/>
      <c r="J21" s="24"/>
      <c r="K21" s="24"/>
      <c r="L21" s="24"/>
    </row>
    <row r="22" spans="1:12" ht="12.75">
      <c r="A22" s="24" t="s">
        <v>82</v>
      </c>
      <c r="B22" s="24"/>
      <c r="C22" s="24"/>
      <c r="D22" s="24">
        <f>D21+$D$11</f>
        <v>352.25</v>
      </c>
      <c r="E22" s="24">
        <f t="shared" si="0"/>
        <v>350</v>
      </c>
      <c r="F22" s="24">
        <f t="shared" si="0"/>
        <v>1330</v>
      </c>
      <c r="G22" s="24"/>
      <c r="H22" s="24"/>
      <c r="I22" s="24">
        <f>D23-D22</f>
        <v>347.75</v>
      </c>
      <c r="J22" s="24">
        <f>SQRT((E26-E22)^2+(F26-F22)^2)</f>
        <v>380.50000000000006</v>
      </c>
      <c r="K22" s="24"/>
      <c r="L22" s="24"/>
    </row>
    <row r="23" spans="1:12" ht="12.75">
      <c r="A23" s="24" t="s">
        <v>83</v>
      </c>
      <c r="B23" s="24"/>
      <c r="C23" s="24"/>
      <c r="D23" s="24">
        <f>D22+$D$9-0.75*$D$11</f>
        <v>700</v>
      </c>
      <c r="E23" s="24">
        <f t="shared" si="0"/>
        <v>350</v>
      </c>
      <c r="F23" s="24">
        <f t="shared" si="0"/>
        <v>1330</v>
      </c>
      <c r="G23" s="24"/>
      <c r="H23" s="24"/>
      <c r="I23" s="24"/>
      <c r="J23" s="24"/>
      <c r="K23" s="24"/>
      <c r="L23" s="24"/>
    </row>
    <row r="24" spans="1:12" ht="12.75">
      <c r="A24" s="24" t="s">
        <v>80</v>
      </c>
      <c r="B24" s="24"/>
      <c r="C24" s="24"/>
      <c r="D24" s="24">
        <f>$D$11/2</f>
        <v>1.5</v>
      </c>
      <c r="E24" s="24">
        <f>E20+$D$15-$D$17/2</f>
        <v>718.6711764609004</v>
      </c>
      <c r="F24" s="24">
        <f>F20-(E24-E20)*TAN($D$5)</f>
        <v>1235.862793503654</v>
      </c>
      <c r="G24" s="24"/>
      <c r="H24" s="24"/>
      <c r="I24" s="24"/>
      <c r="J24" s="24"/>
      <c r="K24" s="24"/>
      <c r="L24" s="24"/>
    </row>
    <row r="25" spans="1:12" ht="12.75">
      <c r="A25" s="24" t="s">
        <v>81</v>
      </c>
      <c r="B25" s="24"/>
      <c r="C25" s="24"/>
      <c r="D25" s="24">
        <f>D24+$D$8-0.75*$D$11</f>
        <v>349.25</v>
      </c>
      <c r="E25" s="24">
        <f aca="true" t="shared" si="1" ref="E25:F27">E24</f>
        <v>718.6711764609004</v>
      </c>
      <c r="F25" s="24">
        <f t="shared" si="1"/>
        <v>1235.862793503654</v>
      </c>
      <c r="G25" s="24"/>
      <c r="H25" s="24"/>
      <c r="I25" s="24"/>
      <c r="J25" s="24"/>
      <c r="K25" s="24"/>
      <c r="L25" s="24"/>
    </row>
    <row r="26" spans="1:12" ht="12.75">
      <c r="A26" s="24" t="s">
        <v>82</v>
      </c>
      <c r="B26" s="24"/>
      <c r="C26" s="24"/>
      <c r="D26" s="24">
        <f>D25+$D$11</f>
        <v>352.25</v>
      </c>
      <c r="E26" s="24">
        <f t="shared" si="1"/>
        <v>718.6711764609004</v>
      </c>
      <c r="F26" s="24">
        <f t="shared" si="1"/>
        <v>1235.862793503654</v>
      </c>
      <c r="G26" s="24"/>
      <c r="H26" s="24"/>
      <c r="I26" s="24"/>
      <c r="J26" s="24"/>
      <c r="K26" s="24"/>
      <c r="L26" s="24"/>
    </row>
    <row r="27" spans="1:12" ht="12.75">
      <c r="A27" s="24" t="s">
        <v>83</v>
      </c>
      <c r="B27" s="24"/>
      <c r="C27" s="24"/>
      <c r="D27" s="24">
        <f>D26+$D$9-0.75*$D$11</f>
        <v>700</v>
      </c>
      <c r="E27" s="24">
        <f t="shared" si="1"/>
        <v>718.6711764609004</v>
      </c>
      <c r="F27" s="24">
        <f t="shared" si="1"/>
        <v>1235.862793503654</v>
      </c>
      <c r="G27" s="24"/>
      <c r="H27" s="24">
        <f>ATAN((F24-F20)/(E24-E20))</f>
        <v>-0.24999999999999986</v>
      </c>
      <c r="I27" s="24"/>
      <c r="J27" s="24"/>
      <c r="K27" s="24"/>
      <c r="L27" s="24"/>
    </row>
    <row r="28" spans="1:12" ht="12.75">
      <c r="A28" s="24" t="s">
        <v>80</v>
      </c>
      <c r="B28" s="24"/>
      <c r="C28" s="24"/>
      <c r="D28" s="24">
        <f>$D$11/2</f>
        <v>1.5</v>
      </c>
      <c r="E28" s="24">
        <f>E24+$D$17</f>
        <v>721.5779137260323</v>
      </c>
      <c r="F28" s="24">
        <f>F24-(E28-E24)*TAN($D$5)</f>
        <v>1235.1205816258905</v>
      </c>
      <c r="G28" s="24"/>
      <c r="H28" s="24"/>
      <c r="I28" s="24">
        <f>D29-D28</f>
        <v>347.75</v>
      </c>
      <c r="J28" s="24">
        <f>SQRT((E32-E28)^2+(F32-F28)^2)</f>
        <v>380.49999999999994</v>
      </c>
      <c r="K28" s="24"/>
      <c r="L28" s="24"/>
    </row>
    <row r="29" spans="1:12" ht="12.75">
      <c r="A29" s="24" t="s">
        <v>81</v>
      </c>
      <c r="B29" s="24"/>
      <c r="C29" s="24"/>
      <c r="D29" s="24">
        <f>D28+$D$8-0.75*$D$11</f>
        <v>349.25</v>
      </c>
      <c r="E29" s="24">
        <f aca="true" t="shared" si="2" ref="E29:F31">E28</f>
        <v>721.5779137260323</v>
      </c>
      <c r="F29" s="24">
        <f t="shared" si="2"/>
        <v>1235.1205816258905</v>
      </c>
      <c r="G29" s="24"/>
      <c r="H29" s="24"/>
      <c r="I29" s="24"/>
      <c r="J29" s="24"/>
      <c r="K29" s="24"/>
      <c r="L29" s="24"/>
    </row>
    <row r="30" spans="1:12" ht="12.75">
      <c r="A30" s="24" t="s">
        <v>82</v>
      </c>
      <c r="B30" s="24"/>
      <c r="C30" s="24"/>
      <c r="D30" s="24">
        <f>D29+$D$11</f>
        <v>352.25</v>
      </c>
      <c r="E30" s="24">
        <f t="shared" si="2"/>
        <v>721.5779137260323</v>
      </c>
      <c r="F30" s="24">
        <f t="shared" si="2"/>
        <v>1235.1205816258905</v>
      </c>
      <c r="G30" s="24"/>
      <c r="H30" s="24"/>
      <c r="I30" s="24">
        <f>D31-D30</f>
        <v>347.75</v>
      </c>
      <c r="J30" s="24">
        <f>SQRT((E34-E30)^2+(F34-F30)^2)</f>
        <v>380.49999999999994</v>
      </c>
      <c r="K30" s="24"/>
      <c r="L30" s="24"/>
    </row>
    <row r="31" spans="1:12" ht="12.75">
      <c r="A31" s="24" t="s">
        <v>83</v>
      </c>
      <c r="B31" s="24"/>
      <c r="C31" s="24"/>
      <c r="D31" s="24">
        <f>D30+$D$9-0.75*$D$11</f>
        <v>700</v>
      </c>
      <c r="E31" s="24">
        <f t="shared" si="2"/>
        <v>721.5779137260323</v>
      </c>
      <c r="F31" s="24">
        <f t="shared" si="2"/>
        <v>1235.1205816258905</v>
      </c>
      <c r="G31" s="24"/>
      <c r="H31" s="24"/>
      <c r="I31" s="24"/>
      <c r="J31" s="24"/>
      <c r="K31" s="24"/>
      <c r="L31" s="24"/>
    </row>
    <row r="32" spans="1:12" ht="12.75">
      <c r="A32" s="24" t="s">
        <v>80</v>
      </c>
      <c r="B32" s="24"/>
      <c r="C32" s="24"/>
      <c r="D32" s="24">
        <f>$D$11/2</f>
        <v>1.5</v>
      </c>
      <c r="E32" s="24">
        <f>E28+$D$15-$D$17/2</f>
        <v>1090.2490901869326</v>
      </c>
      <c r="F32" s="24">
        <f>F28-(E32-E28)*TAN($D$5)</f>
        <v>1140.9833751295446</v>
      </c>
      <c r="G32" s="24"/>
      <c r="H32" s="24"/>
      <c r="I32" s="24"/>
      <c r="J32" s="24"/>
      <c r="K32" s="24"/>
      <c r="L32" s="24"/>
    </row>
    <row r="33" spans="1:12" ht="12.75">
      <c r="A33" s="24" t="s">
        <v>81</v>
      </c>
      <c r="B33" s="24"/>
      <c r="C33" s="24"/>
      <c r="D33" s="24">
        <f>D32+$D$8-0.75*$D$11</f>
        <v>349.25</v>
      </c>
      <c r="E33" s="24">
        <f aca="true" t="shared" si="3" ref="E33:F35">E32</f>
        <v>1090.2490901869326</v>
      </c>
      <c r="F33" s="24">
        <f t="shared" si="3"/>
        <v>1140.9833751295446</v>
      </c>
      <c r="G33" s="24"/>
      <c r="H33" s="24"/>
      <c r="I33" s="24"/>
      <c r="J33" s="24"/>
      <c r="K33" s="24"/>
      <c r="L33" s="24"/>
    </row>
    <row r="34" spans="1:12" ht="12.75">
      <c r="A34" s="24" t="s">
        <v>82</v>
      </c>
      <c r="B34" s="24"/>
      <c r="C34" s="24"/>
      <c r="D34" s="24">
        <f>D33+$D$11</f>
        <v>352.25</v>
      </c>
      <c r="E34" s="24">
        <f t="shared" si="3"/>
        <v>1090.2490901869326</v>
      </c>
      <c r="F34" s="24">
        <f t="shared" si="3"/>
        <v>1140.9833751295446</v>
      </c>
      <c r="G34" s="24"/>
      <c r="H34" s="24"/>
      <c r="I34" s="24"/>
      <c r="J34" s="24"/>
      <c r="K34" s="24"/>
      <c r="L34" s="24"/>
    </row>
    <row r="35" spans="1:12" ht="12.75">
      <c r="A35" s="24" t="s">
        <v>83</v>
      </c>
      <c r="B35" s="24"/>
      <c r="C35" s="24"/>
      <c r="D35" s="24">
        <f>D34+$D$9-0.75*$D$11</f>
        <v>700</v>
      </c>
      <c r="E35" s="24">
        <f t="shared" si="3"/>
        <v>1090.2490901869326</v>
      </c>
      <c r="F35" s="24">
        <f t="shared" si="3"/>
        <v>1140.9833751295446</v>
      </c>
      <c r="G35" s="24"/>
      <c r="H35" s="24">
        <f>ATAN((F32-F28)/(E32-E28))</f>
        <v>-0.24999999999999994</v>
      </c>
      <c r="I35" s="24"/>
      <c r="J35" s="24"/>
      <c r="K35" s="24">
        <f>ATAN((F32-F20)/(E32-E20))</f>
        <v>-0.2499999999999999</v>
      </c>
      <c r="L35" s="24"/>
    </row>
    <row r="36" spans="1:12" ht="12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</row>
    <row r="37" spans="1:12" ht="12.7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12.7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G60" sqref="G60"/>
    </sheetView>
  </sheetViews>
  <sheetFormatPr defaultColWidth="9.140625" defaultRowHeight="12.75"/>
  <sheetData>
    <row r="1" spans="1:9" ht="18">
      <c r="A1" s="25" t="s">
        <v>84</v>
      </c>
      <c r="B1" s="25"/>
      <c r="C1" s="25"/>
      <c r="D1" s="25"/>
      <c r="I1" s="28">
        <v>38796</v>
      </c>
    </row>
    <row r="3" ht="12.75">
      <c r="A3" s="29" t="s">
        <v>85</v>
      </c>
    </row>
    <row r="5" spans="2:3" ht="12.75">
      <c r="B5" t="s">
        <v>86</v>
      </c>
      <c r="C5">
        <v>2700</v>
      </c>
    </row>
    <row r="6" spans="2:5" ht="12.75">
      <c r="B6" t="s">
        <v>87</v>
      </c>
      <c r="C6">
        <v>0</v>
      </c>
      <c r="D6">
        <v>837.9</v>
      </c>
      <c r="E6">
        <f>-684.4+20</f>
        <v>-664.4</v>
      </c>
    </row>
    <row r="7" spans="2:3" ht="12.75">
      <c r="B7" t="s">
        <v>88</v>
      </c>
      <c r="C7">
        <v>600</v>
      </c>
    </row>
    <row r="8" spans="2:3" ht="12.75">
      <c r="B8" t="s">
        <v>89</v>
      </c>
      <c r="C8">
        <v>795</v>
      </c>
    </row>
    <row r="9" spans="2:3" ht="12.75">
      <c r="B9" t="s">
        <v>70</v>
      </c>
      <c r="C9">
        <v>3</v>
      </c>
    </row>
    <row r="10" spans="2:3" ht="12.75">
      <c r="B10" t="s">
        <v>90</v>
      </c>
      <c r="C10">
        <v>62.5</v>
      </c>
    </row>
    <row r="11" spans="2:3" ht="12.75">
      <c r="B11" t="s">
        <v>91</v>
      </c>
      <c r="C11">
        <v>34</v>
      </c>
    </row>
    <row r="13" spans="2:5" ht="12.75">
      <c r="B13" t="s">
        <v>92</v>
      </c>
      <c r="C13">
        <v>890</v>
      </c>
      <c r="D13">
        <v>790</v>
      </c>
      <c r="E13">
        <v>2107</v>
      </c>
    </row>
    <row r="14" spans="2:3" ht="12.75">
      <c r="B14" t="s">
        <v>93</v>
      </c>
      <c r="C14">
        <v>0.025</v>
      </c>
    </row>
    <row r="16" ht="12.75">
      <c r="A16" s="29" t="s">
        <v>94</v>
      </c>
    </row>
    <row r="18" spans="2:3" ht="12.75">
      <c r="B18" t="s">
        <v>95</v>
      </c>
      <c r="C18">
        <f>0+C9/2</f>
        <v>1.5</v>
      </c>
    </row>
    <row r="19" spans="2:3" ht="12.75">
      <c r="B19" t="s">
        <v>96</v>
      </c>
      <c r="C19">
        <f>C18+C7-C9/2</f>
        <v>600</v>
      </c>
    </row>
    <row r="20" spans="2:3" ht="12.75">
      <c r="B20" t="s">
        <v>97</v>
      </c>
      <c r="C20">
        <f>0+C9/2</f>
        <v>1.5</v>
      </c>
    </row>
    <row r="21" spans="2:3" ht="12.75">
      <c r="B21" t="s">
        <v>98</v>
      </c>
      <c r="C21">
        <f>C20+C8-C9/2</f>
        <v>795</v>
      </c>
    </row>
    <row r="22" spans="2:3" ht="12.75">
      <c r="B22" t="s">
        <v>99</v>
      </c>
      <c r="C22">
        <f>C10</f>
        <v>62.5</v>
      </c>
    </row>
    <row r="23" spans="2:3" ht="12.75">
      <c r="B23" t="s">
        <v>100</v>
      </c>
      <c r="C23">
        <f>C10</f>
        <v>62.5</v>
      </c>
    </row>
    <row r="24" spans="2:3" ht="12.75">
      <c r="B24" t="s">
        <v>101</v>
      </c>
      <c r="C24">
        <f>(C18+C19)/2</f>
        <v>300.75</v>
      </c>
    </row>
    <row r="25" spans="2:3" ht="12.75">
      <c r="B25" t="s">
        <v>102</v>
      </c>
      <c r="C25">
        <f>(C21+C20)/2</f>
        <v>398.25</v>
      </c>
    </row>
    <row r="27" ht="12.75">
      <c r="A27" s="29" t="s">
        <v>103</v>
      </c>
    </row>
    <row r="28" spans="3:12" ht="12.75">
      <c r="C28" s="30" t="s">
        <v>2</v>
      </c>
      <c r="D28" s="30" t="s">
        <v>3</v>
      </c>
      <c r="E28" s="30" t="s">
        <v>19</v>
      </c>
      <c r="F28" s="30" t="s">
        <v>104</v>
      </c>
      <c r="G28" s="30"/>
      <c r="H28" s="30" t="s">
        <v>105</v>
      </c>
      <c r="I28" s="30" t="s">
        <v>106</v>
      </c>
      <c r="J28" s="30"/>
      <c r="K28" s="30" t="s">
        <v>107</v>
      </c>
      <c r="L28" s="30" t="s">
        <v>106</v>
      </c>
    </row>
    <row r="29" spans="1:12" ht="12.75">
      <c r="A29" t="s">
        <v>108</v>
      </c>
      <c r="B29" s="31" t="s">
        <v>109</v>
      </c>
      <c r="C29" s="32">
        <f>C20</f>
        <v>1.5</v>
      </c>
      <c r="D29" s="32">
        <f>C18</f>
        <v>1.5</v>
      </c>
      <c r="E29" s="32">
        <f aca="true" t="shared" si="0" ref="E29:E37">SQRT($C$5^2-(C29-$C$6)^2-(D29-$D$6)^2)+$E$6</f>
        <v>1902.7838247386958</v>
      </c>
      <c r="F29">
        <f aca="true" t="shared" si="1" ref="F29:F37">SQRT((C29-$C$6)^2+(D29-$D$6)^2+(E29-$E$6)^2)</f>
        <v>2700</v>
      </c>
      <c r="H29">
        <f>-(D29-$D$6)/(E29-$E$6)</f>
        <v>0.3258044834732994</v>
      </c>
      <c r="I29">
        <f>H29*180/3.141592654</f>
        <v>18.6672218470224</v>
      </c>
      <c r="K29">
        <f>(C29-$C$6)/(E29-$E$6)</f>
        <v>0.0005842978541486718</v>
      </c>
      <c r="L29">
        <f>K29*180/3.141592654</f>
        <v>0.03347780101689814</v>
      </c>
    </row>
    <row r="30" spans="1:12" ht="12.75">
      <c r="A30" t="s">
        <v>110</v>
      </c>
      <c r="B30" s="31" t="s">
        <v>109</v>
      </c>
      <c r="C30" s="32">
        <f>C20</f>
        <v>1.5</v>
      </c>
      <c r="D30" s="32">
        <f>C19+30</f>
        <v>630</v>
      </c>
      <c r="E30" s="32">
        <f t="shared" si="0"/>
        <v>2027.5835326390834</v>
      </c>
      <c r="F30">
        <f t="shared" si="1"/>
        <v>2700</v>
      </c>
      <c r="H30">
        <f>-(D30-$D$6)/(E30-$E$6)</f>
        <v>0.07722929857456647</v>
      </c>
      <c r="I30">
        <f>H30*180/3.141592654</f>
        <v>4.424912862500589</v>
      </c>
      <c r="K30">
        <f>(C30-$C$6)/(E30-$E$6)</f>
        <v>0.0005572099464254436</v>
      </c>
      <c r="L30">
        <f>K30*180/3.141592654</f>
        <v>0.03192577822871999</v>
      </c>
    </row>
    <row r="31" spans="1:12" ht="12.75">
      <c r="A31" t="s">
        <v>111</v>
      </c>
      <c r="B31" s="31" t="s">
        <v>109</v>
      </c>
      <c r="C31" s="32">
        <f>C21+30</f>
        <v>825</v>
      </c>
      <c r="D31" s="32">
        <f>C20</f>
        <v>1.5</v>
      </c>
      <c r="E31" s="32">
        <f t="shared" si="0"/>
        <v>1766.6100863632796</v>
      </c>
      <c r="F31">
        <f t="shared" si="1"/>
        <v>2700</v>
      </c>
      <c r="H31">
        <f>-(D31-$D$6)/(E31-$E$6)</f>
        <v>0.34405451655333524</v>
      </c>
      <c r="I31">
        <f>H31*180/3.141592654</f>
        <v>19.71287171834606</v>
      </c>
      <c r="K31">
        <f>(C31-$C$6)/(E31-$E$6)</f>
        <v>0.33936510779113055</v>
      </c>
      <c r="L31">
        <f>K31*180/3.141592654</f>
        <v>19.444188387895146</v>
      </c>
    </row>
    <row r="32" spans="1:12" ht="12.75">
      <c r="A32" t="s">
        <v>112</v>
      </c>
      <c r="B32" s="31" t="s">
        <v>109</v>
      </c>
      <c r="C32" s="32">
        <f>C21+30</f>
        <v>825</v>
      </c>
      <c r="D32" s="32">
        <f>C19+30</f>
        <v>630</v>
      </c>
      <c r="E32" s="32">
        <f t="shared" si="0"/>
        <v>1898.0505048878504</v>
      </c>
      <c r="F32">
        <f t="shared" si="1"/>
        <v>2700</v>
      </c>
      <c r="H32">
        <f>-(D32-$D$6)/(E32-$E$6)</f>
        <v>0.08113327441971373</v>
      </c>
      <c r="I32">
        <f>H32*180/3.141592654</f>
        <v>4.648594201719339</v>
      </c>
      <c r="K32">
        <f>(C32-$C$6)/(E32-$E$6)</f>
        <v>0.3219574381734672</v>
      </c>
      <c r="L32">
        <f>K32*180/3.141592654</f>
        <v>18.446802387775158</v>
      </c>
    </row>
    <row r="33" spans="1:6" ht="12.75">
      <c r="A33" t="s">
        <v>113</v>
      </c>
      <c r="B33" s="31" t="s">
        <v>109</v>
      </c>
      <c r="C33" s="32">
        <f>C23</f>
        <v>62.5</v>
      </c>
      <c r="D33" s="32">
        <f>C18</f>
        <v>1.5</v>
      </c>
      <c r="E33" s="32">
        <f t="shared" si="0"/>
        <v>1902.0233458258595</v>
      </c>
      <c r="F33">
        <f t="shared" si="1"/>
        <v>2700</v>
      </c>
    </row>
    <row r="34" spans="1:6" ht="12.75">
      <c r="A34" t="s">
        <v>114</v>
      </c>
      <c r="B34" s="31" t="s">
        <v>109</v>
      </c>
      <c r="C34" s="32">
        <f>C20</f>
        <v>1.5</v>
      </c>
      <c r="D34" s="32">
        <f>C22</f>
        <v>62.5</v>
      </c>
      <c r="E34" s="32">
        <f t="shared" si="0"/>
        <v>1921.8622817494747</v>
      </c>
      <c r="F34">
        <f t="shared" si="1"/>
        <v>2700</v>
      </c>
    </row>
    <row r="35" spans="1:6" ht="12.75">
      <c r="A35" t="s">
        <v>115</v>
      </c>
      <c r="B35" s="31" t="s">
        <v>109</v>
      </c>
      <c r="C35" s="32">
        <f>C30+20</f>
        <v>21.5</v>
      </c>
      <c r="D35" s="32">
        <f>D30+25</f>
        <v>655</v>
      </c>
      <c r="E35" s="32">
        <f t="shared" si="0"/>
        <v>2029.3121858134732</v>
      </c>
      <c r="F35">
        <f t="shared" si="1"/>
        <v>2700</v>
      </c>
    </row>
    <row r="36" spans="1:12" ht="12.75">
      <c r="A36" t="s">
        <v>116</v>
      </c>
      <c r="B36" s="31" t="s">
        <v>109</v>
      </c>
      <c r="I36" s="33"/>
      <c r="J36" s="34"/>
      <c r="K36" s="34"/>
      <c r="L36" s="33"/>
    </row>
    <row r="37" spans="1:12" ht="12.75">
      <c r="A37" t="s">
        <v>117</v>
      </c>
      <c r="B37" s="31" t="s">
        <v>109</v>
      </c>
      <c r="C37">
        <f>C25</f>
        <v>398.25</v>
      </c>
      <c r="D37">
        <f>C24</f>
        <v>300.75</v>
      </c>
      <c r="E37">
        <f t="shared" si="0"/>
        <v>1951.48738576415</v>
      </c>
      <c r="F37">
        <f t="shared" si="1"/>
        <v>2700</v>
      </c>
      <c r="H37">
        <f>-(D37-$D$6)/(E37-$E$6)</f>
        <v>0.20534140839671058</v>
      </c>
      <c r="I37">
        <f>H37*180/3.141592654</f>
        <v>11.765196058867504</v>
      </c>
      <c r="K37">
        <f>(C37-$C$6)/(E37-$E$6)</f>
        <v>0.15224279231870055</v>
      </c>
      <c r="L37">
        <f>K37*180/3.141592654</f>
        <v>8.72286946000928</v>
      </c>
    </row>
    <row r="38" ht="12.75">
      <c r="B38" s="31"/>
    </row>
    <row r="39" spans="1:2" ht="12.75">
      <c r="A39" s="29" t="s">
        <v>118</v>
      </c>
      <c r="B39" s="31"/>
    </row>
    <row r="40" spans="1:2" ht="12.75">
      <c r="A40" s="29"/>
      <c r="B40" s="31"/>
    </row>
    <row r="41" spans="1:3" ht="12.75">
      <c r="A41" t="s">
        <v>119</v>
      </c>
      <c r="B41" t="s">
        <v>120</v>
      </c>
      <c r="C41">
        <f>SQRT((C32-C29)^2+(D32-D29)^2+(E32-E29)^2)</f>
        <v>1035.9473463052118</v>
      </c>
    </row>
    <row r="42" spans="2:3" ht="12.75">
      <c r="B42" t="s">
        <v>121</v>
      </c>
      <c r="C42">
        <f>SQRT((C31-C30)^2+(D31-D30)^2+(E31-E30)^2)</f>
        <v>1068.3031590616354</v>
      </c>
    </row>
    <row r="43" spans="2:3" ht="12.75">
      <c r="B43" t="s">
        <v>122</v>
      </c>
      <c r="C43">
        <f>SQRT((C35-C31)^2+(D35-D31)^2+(E35-E31)^2)</f>
        <v>1068.497493237836</v>
      </c>
    </row>
    <row r="45" spans="1:3" ht="12.75">
      <c r="A45" t="s">
        <v>123</v>
      </c>
      <c r="B45" s="35" t="s">
        <v>124</v>
      </c>
      <c r="C45">
        <f>SQRT((D30-D29)^2+(E30-E29)^2)</f>
        <v>640.7707991879952</v>
      </c>
    </row>
    <row r="46" spans="2:3" ht="12.75">
      <c r="B46" t="s">
        <v>125</v>
      </c>
      <c r="C46">
        <f>SQRT((D32-D31)^2+(E32-E31)^2)</f>
        <v>642.0972150865587</v>
      </c>
    </row>
    <row r="47" spans="2:3" ht="12.75">
      <c r="B47" t="s">
        <v>126</v>
      </c>
      <c r="C47">
        <f>SQRT((C31-C29)^2+(E31-E29)^2)</f>
        <v>834.6828960887699</v>
      </c>
    </row>
    <row r="48" spans="2:3" ht="12.75">
      <c r="B48" t="s">
        <v>127</v>
      </c>
      <c r="C48">
        <f>SQRT((C32-C30)^2+(E32-E30)^2)</f>
        <v>833.6252487049571</v>
      </c>
    </row>
    <row r="50" ht="12.75">
      <c r="A50" s="29" t="s">
        <v>128</v>
      </c>
    </row>
    <row r="51" ht="12.75">
      <c r="A51" s="29"/>
    </row>
    <row r="52" spans="1:3" ht="12.75">
      <c r="A52" t="s">
        <v>129</v>
      </c>
      <c r="B52" t="s">
        <v>130</v>
      </c>
      <c r="C52">
        <f>C13-C31</f>
        <v>65</v>
      </c>
    </row>
    <row r="53" spans="1:3" ht="12.75">
      <c r="A53" t="s">
        <v>131</v>
      </c>
      <c r="B53" t="s">
        <v>132</v>
      </c>
      <c r="C53">
        <f>D13-D30</f>
        <v>160</v>
      </c>
    </row>
    <row r="54" spans="1:3" ht="12.75">
      <c r="A54" t="s">
        <v>133</v>
      </c>
      <c r="B54" t="s">
        <v>134</v>
      </c>
      <c r="C54">
        <f>E13-E30-C11</f>
        <v>45.41646736091661</v>
      </c>
    </row>
    <row r="56" ht="12.75">
      <c r="A56" s="29" t="s">
        <v>135</v>
      </c>
    </row>
    <row r="58" spans="1:3" ht="12.75">
      <c r="A58" t="s">
        <v>136</v>
      </c>
      <c r="B58" t="s">
        <v>137</v>
      </c>
      <c r="C58">
        <f>C10-((0.025*E34)+1)</f>
        <v>13.453442956263132</v>
      </c>
    </row>
    <row r="59" spans="1:3" ht="12.75">
      <c r="A59" t="s">
        <v>138</v>
      </c>
      <c r="B59" t="s">
        <v>137</v>
      </c>
      <c r="C59">
        <f>C10+5-((0.025*(E34+C11))+1)</f>
        <v>17.60344295626313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Imperial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rwp98</dc:creator>
  <cp:keywords/>
  <dc:description/>
  <cp:lastModifiedBy>rwp98</cp:lastModifiedBy>
  <cp:lastPrinted>2008-02-29T13:10:03Z</cp:lastPrinted>
  <dcterms:created xsi:type="dcterms:W3CDTF">2007-08-23T14:24:20Z</dcterms:created>
  <dcterms:modified xsi:type="dcterms:W3CDTF">2008-03-13T12:23:58Z</dcterms:modified>
  <cp:category/>
  <cp:version/>
  <cp:contentType/>
  <cp:contentStatus/>
</cp:coreProperties>
</file>