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Total" sheetId="1" r:id="rId1"/>
    <sheet name="WP1" sheetId="2" r:id="rId2"/>
    <sheet name="WP2" sheetId="3" r:id="rId3"/>
    <sheet name="WP3" sheetId="4" r:id="rId4"/>
    <sheet name="WP4" sheetId="5" r:id="rId5"/>
    <sheet name="WP5" sheetId="6" r:id="rId6"/>
  </sheets>
  <definedNames/>
  <calcPr fullCalcOnLoad="1"/>
</workbook>
</file>

<file path=xl/sharedStrings.xml><?xml version="1.0" encoding="utf-8"?>
<sst xmlns="http://schemas.openxmlformats.org/spreadsheetml/2006/main" count="198" uniqueCount="38">
  <si>
    <t>Approved</t>
  </si>
  <si>
    <t>2006/07</t>
  </si>
  <si>
    <t>2007/08</t>
  </si>
  <si>
    <t>Travel</t>
  </si>
  <si>
    <t>Working allowance</t>
  </si>
  <si>
    <t>Actual</t>
  </si>
  <si>
    <t>(1)</t>
  </si>
  <si>
    <t>(2)</t>
  </si>
  <si>
    <t>(3)</t>
  </si>
  <si>
    <t>Latest Estimate of Future Requirement (4)</t>
  </si>
  <si>
    <t>(5)</t>
  </si>
  <si>
    <t>(6)</t>
  </si>
  <si>
    <t xml:space="preserve">Total </t>
  </si>
  <si>
    <t>Actual (2+4)</t>
  </si>
  <si>
    <t>Variance</t>
  </si>
  <si>
    <t>(Staff years)</t>
  </si>
  <si>
    <t>Total Award</t>
  </si>
  <si>
    <t>Contingency (Held by PPARC)</t>
  </si>
  <si>
    <r>
      <t>Staff (including overhead)</t>
    </r>
    <r>
      <rPr>
        <vertAlign val="superscript"/>
        <sz val="12"/>
        <rFont val="Times New Roman"/>
        <family val="1"/>
      </rPr>
      <t>1</t>
    </r>
  </si>
  <si>
    <r>
      <t>Equipment</t>
    </r>
    <r>
      <rPr>
        <vertAlign val="superscript"/>
        <sz val="12"/>
        <rFont val="Times New Roman"/>
        <family val="1"/>
      </rPr>
      <t>1</t>
    </r>
  </si>
  <si>
    <r>
      <t>Consumables</t>
    </r>
    <r>
      <rPr>
        <vertAlign val="superscript"/>
        <sz val="12"/>
        <rFont val="Times New Roman"/>
        <family val="1"/>
      </rPr>
      <t xml:space="preserve"> 1</t>
    </r>
  </si>
  <si>
    <r>
      <t>Exceptional</t>
    </r>
    <r>
      <rPr>
        <vertAlign val="superscript"/>
        <sz val="12"/>
        <rFont val="Times New Roman"/>
        <family val="1"/>
      </rPr>
      <t>1</t>
    </r>
  </si>
  <si>
    <t>Spend to date end 05/06</t>
  </si>
  <si>
    <t>2008/09</t>
  </si>
  <si>
    <r>
      <t>Total</t>
    </r>
    <r>
      <rPr>
        <sz val="12"/>
        <rFont val="Times New Roman"/>
        <family val="1"/>
      </rPr>
      <t xml:space="preserve"> (Including VAT &amp; WA)</t>
    </r>
  </si>
  <si>
    <t>Total (Excluding WA)</t>
  </si>
  <si>
    <t>WP3</t>
  </si>
  <si>
    <t>WP2</t>
  </si>
  <si>
    <t>WP1</t>
  </si>
  <si>
    <t>WP4</t>
  </si>
  <si>
    <t>WP5</t>
  </si>
  <si>
    <t>Total</t>
  </si>
  <si>
    <r>
      <t xml:space="preserve">1 </t>
    </r>
    <r>
      <rPr>
        <sz val="10"/>
        <rFont val="Arial"/>
        <family val="2"/>
      </rPr>
      <t>Including VAT, excluding Working Allowance</t>
    </r>
  </si>
  <si>
    <t>Projected</t>
  </si>
  <si>
    <t>(Excluding contingency)</t>
  </si>
  <si>
    <t>Projected (3+4)</t>
  </si>
  <si>
    <t>Projected (6-1)</t>
  </si>
  <si>
    <t>Actual     (5-1)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</si>
</sst>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00"/>
    <numFmt numFmtId="178" formatCode="0.0000"/>
    <numFmt numFmtId="179" formatCode="0.000"/>
    <numFmt numFmtId="180" formatCode="0.0000000"/>
    <numFmt numFmtId="181" formatCode="0.000000"/>
    <numFmt numFmtId="182" formatCode="0.0000000000"/>
    <numFmt numFmtId="183" formatCode="0.000000000"/>
    <numFmt numFmtId="184" formatCode="0.00000000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vertAlign val="superscript"/>
      <sz val="12"/>
      <name val="Times New Roman"/>
      <family val="1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 quotePrefix="1">
      <alignment horizontal="center" vertical="top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5" xfId="0" applyBorder="1" applyAlignment="1" quotePrefix="1">
      <alignment horizontal="center" vertical="top" wrapText="1"/>
    </xf>
    <xf numFmtId="0" fontId="1" fillId="0" borderId="15" xfId="0" applyFont="1" applyFill="1" applyBorder="1" applyAlignment="1" quotePrefix="1">
      <alignment horizontal="center" vertical="top" wrapText="1"/>
    </xf>
    <xf numFmtId="0" fontId="1" fillId="0" borderId="16" xfId="0" applyFont="1" applyFill="1" applyBorder="1" applyAlignment="1" quotePrefix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 quotePrefix="1">
      <alignment horizontal="center" vertical="top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1" fillId="0" borderId="18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176" fontId="0" fillId="0" borderId="7" xfId="0" applyNumberFormat="1" applyFont="1" applyBorder="1" applyAlignment="1">
      <alignment horizontal="center"/>
    </xf>
    <xf numFmtId="176" fontId="0" fillId="0" borderId="9" xfId="0" applyNumberFormat="1" applyFont="1" applyBorder="1" applyAlignment="1">
      <alignment horizontal="center"/>
    </xf>
    <xf numFmtId="176" fontId="0" fillId="0" borderId="4" xfId="0" applyNumberFormat="1" applyFont="1" applyBorder="1" applyAlignment="1">
      <alignment horizontal="center"/>
    </xf>
    <xf numFmtId="176" fontId="0" fillId="0" borderId="6" xfId="0" applyNumberFormat="1" applyFont="1" applyBorder="1" applyAlignment="1">
      <alignment horizontal="center"/>
    </xf>
    <xf numFmtId="176" fontId="0" fillId="0" borderId="8" xfId="0" applyNumberFormat="1" applyFont="1" applyBorder="1" applyAlignment="1">
      <alignment horizontal="center"/>
    </xf>
    <xf numFmtId="176" fontId="0" fillId="0" borderId="5" xfId="0" applyNumberFormat="1" applyFont="1" applyBorder="1" applyAlignment="1">
      <alignment horizontal="center"/>
    </xf>
    <xf numFmtId="176" fontId="0" fillId="0" borderId="6" xfId="0" applyNumberFormat="1" applyBorder="1" applyAlignment="1">
      <alignment horizontal="center"/>
    </xf>
    <xf numFmtId="176" fontId="0" fillId="0" borderId="2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76" fontId="3" fillId="0" borderId="3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6" fontId="3" fillId="0" borderId="11" xfId="0" applyNumberFormat="1" applyFont="1" applyBorder="1" applyAlignment="1">
      <alignment horizontal="center"/>
    </xf>
    <xf numFmtId="176" fontId="0" fillId="0" borderId="0" xfId="0" applyNumberFormat="1" applyAlignment="1">
      <alignment horizontal="center"/>
    </xf>
    <xf numFmtId="176" fontId="0" fillId="0" borderId="9" xfId="0" applyNumberFormat="1" applyBorder="1" applyAlignment="1">
      <alignment horizontal="center"/>
    </xf>
    <xf numFmtId="176" fontId="0" fillId="0" borderId="1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F4" sqref="F4"/>
    </sheetView>
  </sheetViews>
  <sheetFormatPr defaultColWidth="9.140625" defaultRowHeight="12.75"/>
  <cols>
    <col min="1" max="1" width="15.421875" style="1" customWidth="1"/>
    <col min="2" max="2" width="13.8515625" style="0" customWidth="1"/>
    <col min="3" max="7" width="10.7109375" style="0" customWidth="1"/>
    <col min="8" max="11" width="10.7109375" style="25" customWidth="1"/>
  </cols>
  <sheetData>
    <row r="1" spans="1:11" ht="31.5" customHeight="1">
      <c r="A1" s="64" t="s">
        <v>31</v>
      </c>
      <c r="B1" s="33" t="s">
        <v>0</v>
      </c>
      <c r="C1" s="61" t="s">
        <v>22</v>
      </c>
      <c r="D1" s="62"/>
      <c r="E1" s="61" t="s">
        <v>9</v>
      </c>
      <c r="F1" s="67"/>
      <c r="G1" s="67"/>
      <c r="H1" s="61" t="s">
        <v>12</v>
      </c>
      <c r="I1" s="62"/>
      <c r="J1" s="61" t="s">
        <v>14</v>
      </c>
      <c r="K1" s="63"/>
    </row>
    <row r="2" spans="1:11" ht="31.5" customHeight="1">
      <c r="A2" s="65"/>
      <c r="B2" s="2" t="s">
        <v>34</v>
      </c>
      <c r="C2" s="18" t="s">
        <v>5</v>
      </c>
      <c r="D2" s="23" t="s">
        <v>33</v>
      </c>
      <c r="E2" s="68"/>
      <c r="F2" s="69"/>
      <c r="G2" s="69"/>
      <c r="H2" s="18" t="s">
        <v>13</v>
      </c>
      <c r="I2" s="19" t="s">
        <v>35</v>
      </c>
      <c r="J2" s="18" t="s">
        <v>37</v>
      </c>
      <c r="K2" s="19" t="s">
        <v>36</v>
      </c>
    </row>
    <row r="3" spans="1:11" ht="15.75">
      <c r="A3" s="66"/>
      <c r="B3" s="3" t="s">
        <v>6</v>
      </c>
      <c r="C3" s="20" t="s">
        <v>7</v>
      </c>
      <c r="D3" s="29" t="s">
        <v>8</v>
      </c>
      <c r="E3" s="35" t="s">
        <v>1</v>
      </c>
      <c r="F3" s="36" t="s">
        <v>2</v>
      </c>
      <c r="G3" s="36" t="s">
        <v>23</v>
      </c>
      <c r="H3" s="21" t="s">
        <v>10</v>
      </c>
      <c r="I3" s="22" t="s">
        <v>11</v>
      </c>
      <c r="J3" s="26"/>
      <c r="K3" s="27"/>
    </row>
    <row r="4" spans="1:11" ht="36.75" customHeight="1">
      <c r="A4" s="4" t="s">
        <v>18</v>
      </c>
      <c r="B4" s="7">
        <f>WP1!B4+WP2!B4+WP3!B4+WP4!B4+WP5!B4</f>
        <v>2034.6999999999998</v>
      </c>
      <c r="C4" s="7">
        <f>WP1!C4+WP2!C4+WP3!C4+WP4!C4+WP5!C4</f>
        <v>241.1</v>
      </c>
      <c r="D4" s="7">
        <f>WP1!D4+WP2!D4+WP3!D4+WP4!D4+WP5!D4</f>
        <v>241.1</v>
      </c>
      <c r="E4" s="7">
        <f>WP1!E4+WP2!E4+WP3!E4+WP4!E4+WP5!E4</f>
        <v>464.5</v>
      </c>
      <c r="F4" s="51">
        <f>WP1!F4+WP2!F4+WP3!F4+WP4!F4+WP5!F4</f>
        <v>740</v>
      </c>
      <c r="G4" s="7">
        <f>WP1!G4+WP2!G4+WP3!G4+WP4!G4+WP5!G4</f>
        <v>588.8</v>
      </c>
      <c r="H4" s="9">
        <f aca="true" t="shared" si="0" ref="H4:H9">C4+E4+F4+G4</f>
        <v>2034.3999999999999</v>
      </c>
      <c r="I4" s="11">
        <f aca="true" t="shared" si="1" ref="I4:I9">D4+E4+F4+G4</f>
        <v>2034.3999999999999</v>
      </c>
      <c r="J4" s="39">
        <f aca="true" t="shared" si="2" ref="J4:J9">H4-B4</f>
        <v>-0.2999999999999545</v>
      </c>
      <c r="K4" s="43">
        <f aca="true" t="shared" si="3" ref="K4:K9">I4-B4</f>
        <v>-0.2999999999999545</v>
      </c>
    </row>
    <row r="5" spans="1:11" ht="36.75" customHeight="1">
      <c r="A5" s="5" t="s">
        <v>15</v>
      </c>
      <c r="B5" s="60">
        <f>WP1!B5+WP2!B5+WP3!B5+WP4!B5+WP5!B5</f>
        <v>33.916666666666664</v>
      </c>
      <c r="C5" s="60">
        <f>WP1!C5+WP2!C5+WP3!C5+WP4!C5+WP5!C5</f>
        <v>4.333333333333334</v>
      </c>
      <c r="D5" s="60">
        <f>WP1!D5+WP2!D5+WP3!D5+WP4!D5+WP5!D5</f>
        <v>4.333333333333334</v>
      </c>
      <c r="E5" s="60">
        <f>WP1!E5+WP2!E5+WP3!E5+WP4!E5+WP5!E5</f>
        <v>8.25</v>
      </c>
      <c r="F5" s="60">
        <f>WP1!F5+WP2!F5+WP3!F5+WP4!F5+WP5!F5</f>
        <v>12.25</v>
      </c>
      <c r="G5" s="60">
        <f>WP1!G5+WP2!G5+WP3!G5+WP4!G5+WP5!G5</f>
        <v>9</v>
      </c>
      <c r="H5" s="57">
        <f t="shared" si="0"/>
        <v>33.833333333333336</v>
      </c>
      <c r="I5" s="58">
        <f t="shared" si="1"/>
        <v>33.833333333333336</v>
      </c>
      <c r="J5" s="57">
        <f t="shared" si="2"/>
        <v>-0.0833333333333286</v>
      </c>
      <c r="K5" s="59">
        <f t="shared" si="3"/>
        <v>-0.0833333333333286</v>
      </c>
    </row>
    <row r="6" spans="1:11" ht="18.75">
      <c r="A6" s="5" t="s">
        <v>19</v>
      </c>
      <c r="B6" s="7">
        <f>WP1!B6+WP2!B6+WP3!B6+WP4!B6+WP5!B6</f>
        <v>344.2</v>
      </c>
      <c r="C6" s="51">
        <f>WP1!C6+WP2!C6+WP3!C6+WP4!C6+WP5!C6</f>
        <v>8</v>
      </c>
      <c r="D6" s="51">
        <f>WP1!D6+WP2!D6+WP3!D6+WP4!D6+WP5!D6</f>
        <v>8</v>
      </c>
      <c r="E6" s="51">
        <f>WP1!E6+WP2!E6+WP3!E6+WP4!E6+WP5!E6</f>
        <v>43.2</v>
      </c>
      <c r="F6" s="51">
        <f>WP1!F6+WP2!F6+WP3!F6+WP4!F6+WP5!F6</f>
        <v>151</v>
      </c>
      <c r="G6" s="51">
        <f>WP1!G6+WP2!G6+WP3!G6+WP4!G6+WP5!G6</f>
        <v>142.2</v>
      </c>
      <c r="H6" s="37">
        <f t="shared" si="0"/>
        <v>344.4</v>
      </c>
      <c r="I6" s="38">
        <f t="shared" si="1"/>
        <v>344.4</v>
      </c>
      <c r="J6" s="37">
        <f t="shared" si="2"/>
        <v>0.19999999999998863</v>
      </c>
      <c r="K6" s="50">
        <f t="shared" si="3"/>
        <v>0.19999999999998863</v>
      </c>
    </row>
    <row r="7" spans="1:11" ht="15.75">
      <c r="A7" s="5" t="s">
        <v>3</v>
      </c>
      <c r="B7" s="7">
        <f>WP1!B7+WP2!B7+WP3!B7+WP4!B7+WP5!B7</f>
        <v>221.89999999999998</v>
      </c>
      <c r="C7" s="51">
        <f>WP1!C7+WP2!C7+WP3!C7+WP4!C7+WP5!C7</f>
        <v>25</v>
      </c>
      <c r="D7" s="51">
        <f>WP1!D7+WP2!D7+WP3!D7+WP4!D7+WP5!D7</f>
        <v>25</v>
      </c>
      <c r="E7" s="51">
        <f>WP1!E7+WP2!E7+WP3!E7+WP4!E7+WP5!E7</f>
        <v>75</v>
      </c>
      <c r="F7" s="51">
        <f>WP1!F7+WP2!F7+WP3!F7+WP4!F7+WP5!F7</f>
        <v>90.89999999999999</v>
      </c>
      <c r="G7" s="51">
        <f>WP1!G7+WP2!G7+WP3!G7+WP4!G7+WP5!G7</f>
        <v>32.7</v>
      </c>
      <c r="H7" s="37">
        <f t="shared" si="0"/>
        <v>223.59999999999997</v>
      </c>
      <c r="I7" s="38">
        <f t="shared" si="1"/>
        <v>223.59999999999997</v>
      </c>
      <c r="J7" s="12">
        <f t="shared" si="2"/>
        <v>1.6999999999999886</v>
      </c>
      <c r="K7" s="28">
        <f t="shared" si="3"/>
        <v>1.6999999999999886</v>
      </c>
    </row>
    <row r="8" spans="1:11" ht="18.75">
      <c r="A8" s="5" t="s">
        <v>20</v>
      </c>
      <c r="B8" s="7">
        <f>WP1!B8+WP2!B8+WP3!B8+WP4!B8+WP5!B8</f>
        <v>103.5</v>
      </c>
      <c r="C8" s="51">
        <f>WP1!C8+WP2!C8+WP3!C8+WP4!C8+WP5!C8</f>
        <v>6</v>
      </c>
      <c r="D8" s="51">
        <f>WP1!D8+WP2!D8+WP3!D8+WP4!D8+WP5!D8</f>
        <v>6</v>
      </c>
      <c r="E8" s="51">
        <f>WP1!E8+WP2!E8+WP3!E8+WP4!E8+WP5!E8</f>
        <v>21.6</v>
      </c>
      <c r="F8" s="51">
        <f>WP1!F8+WP2!F8+WP3!F8+WP4!F8+WP5!F8</f>
        <v>25.300000000000004</v>
      </c>
      <c r="G8" s="51">
        <f>WP1!G8+WP2!G8+WP3!G8+WP4!G8+WP5!G8</f>
        <v>51</v>
      </c>
      <c r="H8" s="12">
        <f t="shared" si="0"/>
        <v>103.9</v>
      </c>
      <c r="I8" s="14">
        <f t="shared" si="1"/>
        <v>103.9</v>
      </c>
      <c r="J8" s="12">
        <f t="shared" si="2"/>
        <v>0.4000000000000057</v>
      </c>
      <c r="K8" s="28">
        <f t="shared" si="3"/>
        <v>0.4000000000000057</v>
      </c>
    </row>
    <row r="9" spans="1:11" ht="18.75">
      <c r="A9" s="5" t="s">
        <v>21</v>
      </c>
      <c r="B9" s="7">
        <f>WP1!B9+WP2!B9+WP3!B9+WP4!B9+WP5!B9</f>
        <v>0</v>
      </c>
      <c r="C9" s="7">
        <f>WP1!C9+WP2!C9+WP3!C9+WP4!C9+WP5!C9</f>
        <v>0</v>
      </c>
      <c r="D9" s="7">
        <f>WP1!D9+WP2!D9+WP3!D9+WP4!D9+WP5!D9</f>
        <v>0</v>
      </c>
      <c r="E9" s="7">
        <f>WP1!E9+WP2!E9+WP3!E9+WP4!E9+WP5!E9</f>
        <v>0</v>
      </c>
      <c r="F9" s="7">
        <f>WP1!F9+WP2!F9+WP3!F9+WP4!F9+WP5!F9</f>
        <v>0</v>
      </c>
      <c r="G9" s="7">
        <f>WP1!G9+WP2!G9+WP3!G9+WP4!G9+WP5!G9</f>
        <v>0</v>
      </c>
      <c r="H9" s="12">
        <f t="shared" si="0"/>
        <v>0</v>
      </c>
      <c r="I9" s="14">
        <f t="shared" si="1"/>
        <v>0</v>
      </c>
      <c r="J9" s="12">
        <f t="shared" si="2"/>
        <v>0</v>
      </c>
      <c r="K9" s="28">
        <f t="shared" si="3"/>
        <v>0</v>
      </c>
    </row>
    <row r="10" spans="1:11" ht="12.75">
      <c r="A10" s="32"/>
      <c r="B10" s="8"/>
      <c r="C10" s="12"/>
      <c r="D10" s="14"/>
      <c r="E10" s="12"/>
      <c r="F10" s="13"/>
      <c r="G10" s="13"/>
      <c r="H10" s="12"/>
      <c r="I10" s="14"/>
      <c r="J10" s="12"/>
      <c r="K10" s="28"/>
    </row>
    <row r="11" spans="1:11" ht="31.5">
      <c r="A11" s="5" t="s">
        <v>25</v>
      </c>
      <c r="B11" s="44">
        <f aca="true" t="shared" si="4" ref="B11:K11">B4+B6+B7+B8+B9</f>
        <v>2704.2999999999997</v>
      </c>
      <c r="C11" s="37">
        <f t="shared" si="4"/>
        <v>280.1</v>
      </c>
      <c r="D11" s="38">
        <f t="shared" si="4"/>
        <v>280.1</v>
      </c>
      <c r="E11" s="12">
        <f t="shared" si="4"/>
        <v>604.3000000000001</v>
      </c>
      <c r="F11" s="13">
        <f t="shared" si="4"/>
        <v>1007.1999999999999</v>
      </c>
      <c r="G11" s="13">
        <f t="shared" si="4"/>
        <v>814.7</v>
      </c>
      <c r="H11" s="12">
        <f t="shared" si="4"/>
        <v>2706.2999999999997</v>
      </c>
      <c r="I11" s="14">
        <f t="shared" si="4"/>
        <v>2706.2999999999997</v>
      </c>
      <c r="J11" s="12">
        <f t="shared" si="4"/>
        <v>2.0000000000000284</v>
      </c>
      <c r="K11" s="14">
        <f t="shared" si="4"/>
        <v>2.0000000000000284</v>
      </c>
    </row>
    <row r="12" spans="1:11" ht="15.75">
      <c r="A12" s="5"/>
      <c r="B12" s="8"/>
      <c r="C12" s="12"/>
      <c r="D12" s="14"/>
      <c r="E12" s="12"/>
      <c r="F12" s="13"/>
      <c r="G12" s="13"/>
      <c r="H12" s="12"/>
      <c r="I12" s="14"/>
      <c r="J12" s="12"/>
      <c r="K12" s="28"/>
    </row>
    <row r="13" spans="1:11" s="34" customFormat="1" ht="31.5">
      <c r="A13" s="5" t="s">
        <v>4</v>
      </c>
      <c r="B13" s="51">
        <f>WP1!B13+WP2!B13+WP3!B13+WP4!B13+WP5!B13</f>
        <v>166</v>
      </c>
      <c r="C13" s="7">
        <f>WP1!C13+WP2!C13+WP3!C13+WP4!C13+WP5!C13</f>
        <v>0</v>
      </c>
      <c r="D13" s="7">
        <f>WP1!D13+WP2!D13+WP3!D13+WP4!D13+WP5!D13</f>
        <v>0</v>
      </c>
      <c r="E13" s="7">
        <f>WP1!E13+WP2!E13+WP3!E13+WP4!E13+WP5!E13</f>
        <v>0</v>
      </c>
      <c r="F13" s="7">
        <f>WP1!F13+WP2!F13+WP3!F13+WP4!F13+WP5!F13</f>
        <v>0</v>
      </c>
      <c r="G13" s="7">
        <f>WP1!G13+WP2!G13+WP3!G13+WP4!G13+WP5!G13</f>
        <v>0</v>
      </c>
      <c r="H13" s="12">
        <f>C13+E13+F13+G13</f>
        <v>0</v>
      </c>
      <c r="I13" s="12">
        <f>D13+F13+G13+H13</f>
        <v>0</v>
      </c>
      <c r="J13" s="12">
        <f>H13-B13</f>
        <v>-166</v>
      </c>
      <c r="K13" s="28">
        <f>I13-B13</f>
        <v>-166</v>
      </c>
    </row>
    <row r="14" spans="1:11" s="34" customFormat="1" ht="15.75">
      <c r="A14" s="5"/>
      <c r="B14" s="8"/>
      <c r="C14" s="12"/>
      <c r="D14" s="14"/>
      <c r="E14" s="12"/>
      <c r="F14" s="13"/>
      <c r="G14" s="13"/>
      <c r="H14" s="12"/>
      <c r="I14" s="14"/>
      <c r="J14" s="12"/>
      <c r="K14" s="28"/>
    </row>
    <row r="15" spans="1:11" s="24" customFormat="1" ht="33.75" customHeight="1">
      <c r="A15" s="6" t="s">
        <v>24</v>
      </c>
      <c r="B15" s="46">
        <f aca="true" t="shared" si="5" ref="B15:G15">SUM(B11:B14)</f>
        <v>2870.2999999999997</v>
      </c>
      <c r="C15" s="47">
        <f t="shared" si="5"/>
        <v>280.1</v>
      </c>
      <c r="D15" s="48">
        <f t="shared" si="5"/>
        <v>280.1</v>
      </c>
      <c r="E15" s="15">
        <f t="shared" si="5"/>
        <v>604.3000000000001</v>
      </c>
      <c r="F15" s="17">
        <f t="shared" si="5"/>
        <v>1007.1999999999999</v>
      </c>
      <c r="G15" s="17">
        <f t="shared" si="5"/>
        <v>814.7</v>
      </c>
      <c r="H15" s="45">
        <f>H11+H13</f>
        <v>2706.2999999999997</v>
      </c>
      <c r="I15" s="45">
        <f>I11+I13</f>
        <v>2706.2999999999997</v>
      </c>
      <c r="J15" s="15">
        <f>SUM(J11:J14)</f>
        <v>-163.99999999999997</v>
      </c>
      <c r="K15" s="16">
        <f>SUM(K11:K14)</f>
        <v>-163.99999999999997</v>
      </c>
    </row>
    <row r="17" spans="1:2" ht="38.25">
      <c r="A17" s="30" t="s">
        <v>17</v>
      </c>
      <c r="B17" s="51">
        <f>WP1!B17+WP2!B17+WP3!B17+WP4!B17+WP5!B17</f>
        <v>152</v>
      </c>
    </row>
    <row r="18" spans="1:2" ht="12.75">
      <c r="A18" s="1" t="s">
        <v>16</v>
      </c>
      <c r="B18" s="49">
        <f>B15+B17</f>
        <v>3022.2999999999997</v>
      </c>
    </row>
    <row r="20" ht="14.25">
      <c r="A20" s="31" t="s">
        <v>32</v>
      </c>
    </row>
  </sheetData>
  <mergeCells count="5">
    <mergeCell ref="H1:I1"/>
    <mergeCell ref="J1:K1"/>
    <mergeCell ref="A1:A3"/>
    <mergeCell ref="E1:G2"/>
    <mergeCell ref="C1:D1"/>
  </mergeCells>
  <printOptions/>
  <pageMargins left="0.75" right="0.75" top="1" bottom="0.41" header="0.36" footer="0.17"/>
  <pageSetup horizontalDpi="600" verticalDpi="600" orientation="landscape" paperSize="9" r:id="rId1"/>
  <headerFooter alignWithMargins="0">
    <oddHeader>&amp;C&amp;"Arial,Bold"&amp;14Finance summary with actual spend to the end of the financial year 2005/06 (all figures in £k)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:A3"/>
    </sheetView>
  </sheetViews>
  <sheetFormatPr defaultColWidth="9.140625" defaultRowHeight="12.75"/>
  <cols>
    <col min="1" max="1" width="15.421875" style="1" customWidth="1"/>
    <col min="2" max="2" width="13.8515625" style="0" customWidth="1"/>
    <col min="3" max="7" width="10.7109375" style="0" customWidth="1"/>
    <col min="8" max="11" width="10.7109375" style="25" customWidth="1"/>
  </cols>
  <sheetData>
    <row r="1" spans="1:11" ht="31.5" customHeight="1">
      <c r="A1" s="64" t="s">
        <v>28</v>
      </c>
      <c r="B1" s="33" t="s">
        <v>0</v>
      </c>
      <c r="C1" s="61" t="s">
        <v>22</v>
      </c>
      <c r="D1" s="62"/>
      <c r="E1" s="61" t="s">
        <v>9</v>
      </c>
      <c r="F1" s="67"/>
      <c r="G1" s="67"/>
      <c r="H1" s="61" t="s">
        <v>12</v>
      </c>
      <c r="I1" s="62"/>
      <c r="J1" s="61" t="s">
        <v>14</v>
      </c>
      <c r="K1" s="63"/>
    </row>
    <row r="2" spans="1:11" ht="31.5" customHeight="1">
      <c r="A2" s="65"/>
      <c r="B2" s="2" t="s">
        <v>34</v>
      </c>
      <c r="C2" s="18" t="s">
        <v>5</v>
      </c>
      <c r="D2" s="23" t="s">
        <v>33</v>
      </c>
      <c r="E2" s="68"/>
      <c r="F2" s="69"/>
      <c r="G2" s="69"/>
      <c r="H2" s="18" t="s">
        <v>13</v>
      </c>
      <c r="I2" s="19" t="s">
        <v>35</v>
      </c>
      <c r="J2" s="18" t="s">
        <v>37</v>
      </c>
      <c r="K2" s="19" t="s">
        <v>36</v>
      </c>
    </row>
    <row r="3" spans="1:11" ht="15.75">
      <c r="A3" s="66"/>
      <c r="B3" s="3" t="s">
        <v>6</v>
      </c>
      <c r="C3" s="20" t="s">
        <v>7</v>
      </c>
      <c r="D3" s="29" t="s">
        <v>8</v>
      </c>
      <c r="E3" s="35" t="s">
        <v>1</v>
      </c>
      <c r="F3" s="36" t="s">
        <v>2</v>
      </c>
      <c r="G3" s="36" t="s">
        <v>23</v>
      </c>
      <c r="H3" s="21" t="s">
        <v>10</v>
      </c>
      <c r="I3" s="22" t="s">
        <v>11</v>
      </c>
      <c r="J3" s="26"/>
      <c r="K3" s="27"/>
    </row>
    <row r="4" spans="1:11" ht="36.75" customHeight="1">
      <c r="A4" s="4" t="s">
        <v>18</v>
      </c>
      <c r="B4" s="7">
        <f>151.3+24.3</f>
        <v>175.60000000000002</v>
      </c>
      <c r="C4" s="39">
        <v>89.6</v>
      </c>
      <c r="D4" s="40">
        <v>89.6</v>
      </c>
      <c r="E4" s="9">
        <f>61.4+9.9</f>
        <v>71.3</v>
      </c>
      <c r="F4" s="10">
        <f>4.2+0</f>
        <v>4.2</v>
      </c>
      <c r="G4" s="42">
        <f>0+0</f>
        <v>0</v>
      </c>
      <c r="H4" s="9">
        <f aca="true" t="shared" si="0" ref="H4:H9">C4+E4+F4+G4</f>
        <v>165.09999999999997</v>
      </c>
      <c r="I4" s="11">
        <f aca="true" t="shared" si="1" ref="I4:I9">D4+E4+F4+G4</f>
        <v>165.09999999999997</v>
      </c>
      <c r="J4" s="39">
        <f aca="true" t="shared" si="2" ref="J4:J9">H4-B4</f>
        <v>-10.500000000000057</v>
      </c>
      <c r="K4" s="43">
        <f aca="true" t="shared" si="3" ref="K4:K9">I4-B4</f>
        <v>-10.500000000000057</v>
      </c>
    </row>
    <row r="5" spans="1:11" ht="36.75" customHeight="1">
      <c r="A5" s="5" t="s">
        <v>15</v>
      </c>
      <c r="B5" s="53">
        <f>46/12</f>
        <v>3.8333333333333335</v>
      </c>
      <c r="C5" s="52">
        <f>24/12</f>
        <v>2</v>
      </c>
      <c r="D5" s="54">
        <f>24/12</f>
        <v>2</v>
      </c>
      <c r="E5" s="55">
        <f>18/12</f>
        <v>1.5</v>
      </c>
      <c r="F5" s="56">
        <f>1/12</f>
        <v>0.08333333333333333</v>
      </c>
      <c r="G5" s="56">
        <f>0/12</f>
        <v>0</v>
      </c>
      <c r="H5" s="57">
        <f t="shared" si="0"/>
        <v>3.5833333333333335</v>
      </c>
      <c r="I5" s="58">
        <f t="shared" si="1"/>
        <v>3.5833333333333335</v>
      </c>
      <c r="J5" s="57">
        <f t="shared" si="2"/>
        <v>-0.25</v>
      </c>
      <c r="K5" s="59">
        <f t="shared" si="3"/>
        <v>-0.25</v>
      </c>
    </row>
    <row r="6" spans="1:11" ht="18.75">
      <c r="A6" s="5" t="s">
        <v>19</v>
      </c>
      <c r="B6" s="44">
        <v>0</v>
      </c>
      <c r="C6" s="37">
        <v>0</v>
      </c>
      <c r="D6" s="38">
        <v>0</v>
      </c>
      <c r="E6" s="37">
        <v>0</v>
      </c>
      <c r="F6" s="41">
        <v>0</v>
      </c>
      <c r="G6" s="41">
        <v>0</v>
      </c>
      <c r="H6" s="37">
        <f t="shared" si="0"/>
        <v>0</v>
      </c>
      <c r="I6" s="38">
        <f t="shared" si="1"/>
        <v>0</v>
      </c>
      <c r="J6" s="37">
        <f t="shared" si="2"/>
        <v>0</v>
      </c>
      <c r="K6" s="50">
        <f t="shared" si="3"/>
        <v>0</v>
      </c>
    </row>
    <row r="7" spans="1:11" ht="15.75">
      <c r="A7" s="5" t="s">
        <v>3</v>
      </c>
      <c r="B7" s="8">
        <v>111.7</v>
      </c>
      <c r="C7" s="37">
        <v>12</v>
      </c>
      <c r="D7" s="38">
        <v>12</v>
      </c>
      <c r="E7" s="12">
        <v>47.3</v>
      </c>
      <c r="F7" s="13">
        <v>53.9</v>
      </c>
      <c r="G7" s="41">
        <v>0</v>
      </c>
      <c r="H7" s="37">
        <f t="shared" si="0"/>
        <v>113.19999999999999</v>
      </c>
      <c r="I7" s="38">
        <f t="shared" si="1"/>
        <v>113.19999999999999</v>
      </c>
      <c r="J7" s="12">
        <f t="shared" si="2"/>
        <v>1.4999999999999858</v>
      </c>
      <c r="K7" s="28">
        <f t="shared" si="3"/>
        <v>1.4999999999999858</v>
      </c>
    </row>
    <row r="8" spans="1:11" ht="18.75">
      <c r="A8" s="5" t="s">
        <v>20</v>
      </c>
      <c r="B8" s="8">
        <v>11.1</v>
      </c>
      <c r="C8" s="37">
        <v>0</v>
      </c>
      <c r="D8" s="38">
        <v>0</v>
      </c>
      <c r="E8" s="12">
        <v>6.2</v>
      </c>
      <c r="F8" s="41">
        <v>5.3</v>
      </c>
      <c r="G8" s="41">
        <v>0</v>
      </c>
      <c r="H8" s="12">
        <f t="shared" si="0"/>
        <v>11.5</v>
      </c>
      <c r="I8" s="14">
        <f t="shared" si="1"/>
        <v>11.5</v>
      </c>
      <c r="J8" s="12">
        <f t="shared" si="2"/>
        <v>0.40000000000000036</v>
      </c>
      <c r="K8" s="28">
        <f t="shared" si="3"/>
        <v>0.40000000000000036</v>
      </c>
    </row>
    <row r="9" spans="1:11" ht="18.75">
      <c r="A9" s="5" t="s">
        <v>21</v>
      </c>
      <c r="B9" s="8">
        <v>0</v>
      </c>
      <c r="C9" s="12">
        <v>0</v>
      </c>
      <c r="D9" s="14">
        <v>0</v>
      </c>
      <c r="E9" s="12">
        <v>0</v>
      </c>
      <c r="F9" s="13">
        <v>0</v>
      </c>
      <c r="G9" s="13">
        <v>0</v>
      </c>
      <c r="H9" s="12">
        <f t="shared" si="0"/>
        <v>0</v>
      </c>
      <c r="I9" s="14">
        <f t="shared" si="1"/>
        <v>0</v>
      </c>
      <c r="J9" s="12">
        <f t="shared" si="2"/>
        <v>0</v>
      </c>
      <c r="K9" s="28">
        <f t="shared" si="3"/>
        <v>0</v>
      </c>
    </row>
    <row r="10" spans="1:11" ht="12.75">
      <c r="A10" s="32"/>
      <c r="B10" s="8"/>
      <c r="C10" s="12"/>
      <c r="D10" s="14"/>
      <c r="E10" s="12"/>
      <c r="F10" s="13"/>
      <c r="G10" s="13"/>
      <c r="H10" s="12"/>
      <c r="I10" s="14"/>
      <c r="J10" s="12"/>
      <c r="K10" s="28"/>
    </row>
    <row r="11" spans="1:11" ht="31.5">
      <c r="A11" s="5" t="s">
        <v>25</v>
      </c>
      <c r="B11" s="44">
        <f aca="true" t="shared" si="4" ref="B11:K11">B4+B6+B7+B8+B9</f>
        <v>298.40000000000003</v>
      </c>
      <c r="C11" s="37">
        <f>C4+C6+C7+C8+C9</f>
        <v>101.6</v>
      </c>
      <c r="D11" s="38">
        <f t="shared" si="4"/>
        <v>101.6</v>
      </c>
      <c r="E11" s="12">
        <f t="shared" si="4"/>
        <v>124.8</v>
      </c>
      <c r="F11" s="13">
        <f t="shared" si="4"/>
        <v>63.4</v>
      </c>
      <c r="G11" s="13">
        <f t="shared" si="4"/>
        <v>0</v>
      </c>
      <c r="H11" s="12">
        <f t="shared" si="4"/>
        <v>289.79999999999995</v>
      </c>
      <c r="I11" s="14">
        <f t="shared" si="4"/>
        <v>289.79999999999995</v>
      </c>
      <c r="J11" s="12">
        <f t="shared" si="4"/>
        <v>-8.60000000000007</v>
      </c>
      <c r="K11" s="14">
        <f t="shared" si="4"/>
        <v>-8.60000000000007</v>
      </c>
    </row>
    <row r="12" spans="1:11" ht="15.75">
      <c r="A12" s="5"/>
      <c r="B12" s="8"/>
      <c r="C12" s="12"/>
      <c r="D12" s="14"/>
      <c r="E12" s="12"/>
      <c r="F12" s="13"/>
      <c r="G12" s="13"/>
      <c r="H12" s="12"/>
      <c r="I12" s="14"/>
      <c r="J12" s="12"/>
      <c r="K12" s="28"/>
    </row>
    <row r="13" spans="1:11" s="34" customFormat="1" ht="31.5">
      <c r="A13" s="5" t="s">
        <v>4</v>
      </c>
      <c r="B13" s="44">
        <f>12+104*B4/Total!B4</f>
        <v>20.97547550007372</v>
      </c>
      <c r="C13" s="12">
        <v>0</v>
      </c>
      <c r="D13" s="14">
        <v>0</v>
      </c>
      <c r="E13" s="12">
        <v>0</v>
      </c>
      <c r="F13" s="13">
        <v>0</v>
      </c>
      <c r="G13" s="13">
        <v>0</v>
      </c>
      <c r="H13" s="12">
        <f>C13+E13+F13+G13</f>
        <v>0</v>
      </c>
      <c r="I13" s="12">
        <f>D13+F13+G13+H13</f>
        <v>0</v>
      </c>
      <c r="J13" s="37">
        <f>H13-B13</f>
        <v>-20.97547550007372</v>
      </c>
      <c r="K13" s="50">
        <f>I13-B13</f>
        <v>-20.97547550007372</v>
      </c>
    </row>
    <row r="14" spans="1:11" s="34" customFormat="1" ht="15.75">
      <c r="A14" s="5"/>
      <c r="B14" s="8"/>
      <c r="C14" s="12"/>
      <c r="D14" s="14"/>
      <c r="E14" s="12"/>
      <c r="F14" s="13"/>
      <c r="G14" s="13"/>
      <c r="H14" s="12"/>
      <c r="I14" s="14"/>
      <c r="J14" s="37"/>
      <c r="K14" s="50"/>
    </row>
    <row r="15" spans="1:11" s="24" customFormat="1" ht="33.75" customHeight="1">
      <c r="A15" s="6" t="s">
        <v>24</v>
      </c>
      <c r="B15" s="46">
        <f aca="true" t="shared" si="5" ref="B15:G15">SUM(B11:B14)</f>
        <v>319.3754755000738</v>
      </c>
      <c r="C15" s="47">
        <f t="shared" si="5"/>
        <v>101.6</v>
      </c>
      <c r="D15" s="48">
        <f t="shared" si="5"/>
        <v>101.6</v>
      </c>
      <c r="E15" s="15">
        <f t="shared" si="5"/>
        <v>124.8</v>
      </c>
      <c r="F15" s="17">
        <f t="shared" si="5"/>
        <v>63.4</v>
      </c>
      <c r="G15" s="17">
        <f t="shared" si="5"/>
        <v>0</v>
      </c>
      <c r="H15" s="45">
        <f>H11+H13</f>
        <v>289.79999999999995</v>
      </c>
      <c r="I15" s="45">
        <f>I11+I13</f>
        <v>289.79999999999995</v>
      </c>
      <c r="J15" s="47">
        <f>SUM(J11:J14)</f>
        <v>-29.575475500073793</v>
      </c>
      <c r="K15" s="48">
        <f>SUM(K11:K14)</f>
        <v>-29.575475500073793</v>
      </c>
    </row>
    <row r="17" spans="1:2" ht="38.25">
      <c r="A17" s="30" t="s">
        <v>17</v>
      </c>
      <c r="B17" s="44">
        <f>26+30*B4/Total!B4</f>
        <v>28.58907947117511</v>
      </c>
    </row>
    <row r="18" spans="1:2" ht="12.75">
      <c r="A18" s="1" t="s">
        <v>16</v>
      </c>
      <c r="B18" s="49">
        <f>B15+B17</f>
        <v>347.9645549712489</v>
      </c>
    </row>
    <row r="20" ht="14.25">
      <c r="A20" s="31" t="s">
        <v>32</v>
      </c>
    </row>
  </sheetData>
  <mergeCells count="5">
    <mergeCell ref="H1:I1"/>
    <mergeCell ref="J1:K1"/>
    <mergeCell ref="A1:A3"/>
    <mergeCell ref="E1:G2"/>
    <mergeCell ref="C1:D1"/>
  </mergeCells>
  <printOptions/>
  <pageMargins left="0.75" right="0.75" top="1" bottom="0.41" header="0.36" footer="0.17"/>
  <pageSetup horizontalDpi="600" verticalDpi="600" orientation="landscape" paperSize="9" r:id="rId1"/>
  <headerFooter alignWithMargins="0">
    <oddHeader>&amp;C&amp;"Arial,Bold"&amp;14Finance summary with actual spend to the end of the financial year 2005/06 (all figures in £k)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:A3"/>
    </sheetView>
  </sheetViews>
  <sheetFormatPr defaultColWidth="9.140625" defaultRowHeight="12.75"/>
  <cols>
    <col min="1" max="1" width="15.421875" style="1" customWidth="1"/>
    <col min="2" max="2" width="13.8515625" style="0" customWidth="1"/>
    <col min="3" max="7" width="10.7109375" style="0" customWidth="1"/>
    <col min="8" max="11" width="10.7109375" style="25" customWidth="1"/>
  </cols>
  <sheetData>
    <row r="1" spans="1:11" ht="31.5" customHeight="1">
      <c r="A1" s="64" t="s">
        <v>27</v>
      </c>
      <c r="B1" s="33" t="s">
        <v>0</v>
      </c>
      <c r="C1" s="61" t="s">
        <v>22</v>
      </c>
      <c r="D1" s="62"/>
      <c r="E1" s="61" t="s">
        <v>9</v>
      </c>
      <c r="F1" s="67"/>
      <c r="G1" s="67"/>
      <c r="H1" s="61" t="s">
        <v>12</v>
      </c>
      <c r="I1" s="62"/>
      <c r="J1" s="61" t="s">
        <v>14</v>
      </c>
      <c r="K1" s="63"/>
    </row>
    <row r="2" spans="1:11" ht="31.5" customHeight="1">
      <c r="A2" s="65"/>
      <c r="B2" s="2" t="s">
        <v>34</v>
      </c>
      <c r="C2" s="18" t="s">
        <v>5</v>
      </c>
      <c r="D2" s="23" t="s">
        <v>33</v>
      </c>
      <c r="E2" s="68"/>
      <c r="F2" s="69"/>
      <c r="G2" s="69"/>
      <c r="H2" s="18" t="s">
        <v>13</v>
      </c>
      <c r="I2" s="19" t="s">
        <v>35</v>
      </c>
      <c r="J2" s="18" t="s">
        <v>37</v>
      </c>
      <c r="K2" s="19" t="s">
        <v>36</v>
      </c>
    </row>
    <row r="3" spans="1:11" ht="15.75">
      <c r="A3" s="66"/>
      <c r="B3" s="3" t="s">
        <v>6</v>
      </c>
      <c r="C3" s="20" t="s">
        <v>7</v>
      </c>
      <c r="D3" s="29" t="s">
        <v>8</v>
      </c>
      <c r="E3" s="35" t="s">
        <v>1</v>
      </c>
      <c r="F3" s="36" t="s">
        <v>2</v>
      </c>
      <c r="G3" s="36" t="s">
        <v>23</v>
      </c>
      <c r="H3" s="21" t="s">
        <v>10</v>
      </c>
      <c r="I3" s="22" t="s">
        <v>11</v>
      </c>
      <c r="J3" s="26"/>
      <c r="K3" s="27"/>
    </row>
    <row r="4" spans="1:11" ht="36.75" customHeight="1">
      <c r="A4" s="4" t="s">
        <v>18</v>
      </c>
      <c r="B4" s="7">
        <f>145.6+469.8</f>
        <v>615.4</v>
      </c>
      <c r="C4" s="39">
        <f>0+55.5</f>
        <v>55.5</v>
      </c>
      <c r="D4" s="40">
        <f>0+55.5</f>
        <v>55.5</v>
      </c>
      <c r="E4" s="9">
        <v>152.7</v>
      </c>
      <c r="F4" s="10">
        <v>244.1</v>
      </c>
      <c r="G4" s="42">
        <v>167.3</v>
      </c>
      <c r="H4" s="9">
        <f aca="true" t="shared" si="0" ref="H4:H9">C4+E4+F4+G4</f>
        <v>619.5999999999999</v>
      </c>
      <c r="I4" s="11">
        <f aca="true" t="shared" si="1" ref="I4:I9">D4+E4+F4+G4</f>
        <v>619.5999999999999</v>
      </c>
      <c r="J4" s="39">
        <f aca="true" t="shared" si="2" ref="J4:J9">H4-B4</f>
        <v>4.199999999999932</v>
      </c>
      <c r="K4" s="43">
        <f aca="true" t="shared" si="3" ref="K4:K9">I4-B4</f>
        <v>4.199999999999932</v>
      </c>
    </row>
    <row r="5" spans="1:11" ht="36.75" customHeight="1">
      <c r="A5" s="5" t="s">
        <v>15</v>
      </c>
      <c r="B5" s="53">
        <f>121/12</f>
        <v>10.083333333333334</v>
      </c>
      <c r="C5" s="52">
        <f>11/12</f>
        <v>0.9166666666666666</v>
      </c>
      <c r="D5" s="54">
        <f>11/12</f>
        <v>0.9166666666666666</v>
      </c>
      <c r="E5" s="55">
        <f>32/12</f>
        <v>2.6666666666666665</v>
      </c>
      <c r="F5" s="56">
        <f>48/12</f>
        <v>4</v>
      </c>
      <c r="G5" s="56">
        <f>31/12</f>
        <v>2.5833333333333335</v>
      </c>
      <c r="H5" s="57">
        <f t="shared" si="0"/>
        <v>10.166666666666666</v>
      </c>
      <c r="I5" s="58">
        <f t="shared" si="1"/>
        <v>10.166666666666666</v>
      </c>
      <c r="J5" s="57">
        <f t="shared" si="2"/>
        <v>0.08333333333333215</v>
      </c>
      <c r="K5" s="59">
        <f t="shared" si="3"/>
        <v>0.08333333333333215</v>
      </c>
    </row>
    <row r="6" spans="1:11" ht="18.75">
      <c r="A6" s="5" t="s">
        <v>19</v>
      </c>
      <c r="B6" s="8">
        <v>118.1</v>
      </c>
      <c r="C6" s="37">
        <v>8</v>
      </c>
      <c r="D6" s="38">
        <v>8</v>
      </c>
      <c r="E6" s="37">
        <v>40.1</v>
      </c>
      <c r="F6" s="13">
        <v>53.9</v>
      </c>
      <c r="G6" s="13">
        <v>16.3</v>
      </c>
      <c r="H6" s="12">
        <f t="shared" si="0"/>
        <v>118.3</v>
      </c>
      <c r="I6" s="14">
        <f t="shared" si="1"/>
        <v>118.3</v>
      </c>
      <c r="J6" s="12">
        <f t="shared" si="2"/>
        <v>0.20000000000000284</v>
      </c>
      <c r="K6" s="28">
        <f t="shared" si="3"/>
        <v>0.20000000000000284</v>
      </c>
    </row>
    <row r="7" spans="1:11" ht="15.75">
      <c r="A7" s="5" t="s">
        <v>3</v>
      </c>
      <c r="B7" s="8">
        <v>24.9</v>
      </c>
      <c r="C7" s="37">
        <v>5</v>
      </c>
      <c r="D7" s="38">
        <v>5</v>
      </c>
      <c r="E7" s="12">
        <v>7.2</v>
      </c>
      <c r="F7" s="13">
        <v>9.5</v>
      </c>
      <c r="G7" s="13">
        <v>3.3</v>
      </c>
      <c r="H7" s="37">
        <f t="shared" si="0"/>
        <v>25</v>
      </c>
      <c r="I7" s="38">
        <f t="shared" si="1"/>
        <v>25</v>
      </c>
      <c r="J7" s="12">
        <f t="shared" si="2"/>
        <v>0.10000000000000142</v>
      </c>
      <c r="K7" s="28">
        <f t="shared" si="3"/>
        <v>0.10000000000000142</v>
      </c>
    </row>
    <row r="8" spans="1:11" ht="18.75">
      <c r="A8" s="5" t="s">
        <v>20</v>
      </c>
      <c r="B8" s="8">
        <v>19.6</v>
      </c>
      <c r="C8" s="37">
        <v>2</v>
      </c>
      <c r="D8" s="38">
        <v>2</v>
      </c>
      <c r="E8" s="12">
        <v>11.3</v>
      </c>
      <c r="F8" s="13">
        <v>6.3</v>
      </c>
      <c r="G8" s="41">
        <v>0</v>
      </c>
      <c r="H8" s="12">
        <f t="shared" si="0"/>
        <v>19.6</v>
      </c>
      <c r="I8" s="14">
        <f t="shared" si="1"/>
        <v>19.6</v>
      </c>
      <c r="J8" s="12">
        <f t="shared" si="2"/>
        <v>0</v>
      </c>
      <c r="K8" s="28">
        <f t="shared" si="3"/>
        <v>0</v>
      </c>
    </row>
    <row r="9" spans="1:11" ht="18.75">
      <c r="A9" s="5" t="s">
        <v>21</v>
      </c>
      <c r="B9" s="8">
        <v>0</v>
      </c>
      <c r="C9" s="12">
        <v>0</v>
      </c>
      <c r="D9" s="14">
        <v>0</v>
      </c>
      <c r="E9" s="12">
        <v>0</v>
      </c>
      <c r="F9" s="13">
        <v>0</v>
      </c>
      <c r="G9" s="13">
        <v>0</v>
      </c>
      <c r="H9" s="12">
        <f t="shared" si="0"/>
        <v>0</v>
      </c>
      <c r="I9" s="14">
        <f t="shared" si="1"/>
        <v>0</v>
      </c>
      <c r="J9" s="12">
        <f t="shared" si="2"/>
        <v>0</v>
      </c>
      <c r="K9" s="28">
        <f t="shared" si="3"/>
        <v>0</v>
      </c>
    </row>
    <row r="10" spans="1:11" ht="12.75">
      <c r="A10" s="32"/>
      <c r="B10" s="8"/>
      <c r="C10" s="12"/>
      <c r="D10" s="14"/>
      <c r="E10" s="12"/>
      <c r="F10" s="13"/>
      <c r="G10" s="13"/>
      <c r="H10" s="12"/>
      <c r="I10" s="14"/>
      <c r="J10" s="12"/>
      <c r="K10" s="28"/>
    </row>
    <row r="11" spans="1:11" ht="31.5">
      <c r="A11" s="5" t="s">
        <v>25</v>
      </c>
      <c r="B11" s="44">
        <f aca="true" t="shared" si="4" ref="B11:K11">B4+B6+B7+B8+B9</f>
        <v>778</v>
      </c>
      <c r="C11" s="37">
        <f t="shared" si="4"/>
        <v>70.5</v>
      </c>
      <c r="D11" s="38">
        <f t="shared" si="4"/>
        <v>70.5</v>
      </c>
      <c r="E11" s="12">
        <f t="shared" si="4"/>
        <v>211.29999999999998</v>
      </c>
      <c r="F11" s="13">
        <f t="shared" si="4"/>
        <v>313.8</v>
      </c>
      <c r="G11" s="13">
        <f t="shared" si="4"/>
        <v>186.90000000000003</v>
      </c>
      <c r="H11" s="12">
        <f t="shared" si="4"/>
        <v>782.4999999999999</v>
      </c>
      <c r="I11" s="14">
        <f t="shared" si="4"/>
        <v>782.4999999999999</v>
      </c>
      <c r="J11" s="12">
        <f t="shared" si="4"/>
        <v>4.499999999999936</v>
      </c>
      <c r="K11" s="14">
        <f t="shared" si="4"/>
        <v>4.499999999999936</v>
      </c>
    </row>
    <row r="12" spans="1:11" ht="15.75">
      <c r="A12" s="5"/>
      <c r="B12" s="8"/>
      <c r="C12" s="12"/>
      <c r="D12" s="14"/>
      <c r="E12" s="12"/>
      <c r="F12" s="13"/>
      <c r="G12" s="13"/>
      <c r="H12" s="12"/>
      <c r="I12" s="14"/>
      <c r="J12" s="12"/>
      <c r="K12" s="28"/>
    </row>
    <row r="13" spans="1:11" s="34" customFormat="1" ht="31.5">
      <c r="A13" s="5" t="s">
        <v>4</v>
      </c>
      <c r="B13" s="44">
        <f>21+104*B4/Total!B4</f>
        <v>52.45505479923331</v>
      </c>
      <c r="C13" s="12">
        <v>0</v>
      </c>
      <c r="D13" s="14">
        <v>0</v>
      </c>
      <c r="E13" s="12">
        <v>0</v>
      </c>
      <c r="F13" s="13">
        <v>0</v>
      </c>
      <c r="G13" s="13">
        <v>0</v>
      </c>
      <c r="H13" s="12">
        <f>C13+E13+F13+G13</f>
        <v>0</v>
      </c>
      <c r="I13" s="12">
        <f>D13+F13+G13+H13</f>
        <v>0</v>
      </c>
      <c r="J13" s="37">
        <f>H13-B13</f>
        <v>-52.45505479923331</v>
      </c>
      <c r="K13" s="50">
        <f>I13-B13</f>
        <v>-52.45505479923331</v>
      </c>
    </row>
    <row r="14" spans="1:11" s="34" customFormat="1" ht="15.75">
      <c r="A14" s="5"/>
      <c r="B14" s="8"/>
      <c r="C14" s="12"/>
      <c r="D14" s="14"/>
      <c r="E14" s="12"/>
      <c r="F14" s="13"/>
      <c r="G14" s="13"/>
      <c r="H14" s="12"/>
      <c r="I14" s="14"/>
      <c r="J14" s="37"/>
      <c r="K14" s="50"/>
    </row>
    <row r="15" spans="1:11" s="24" customFormat="1" ht="33.75" customHeight="1">
      <c r="A15" s="6" t="s">
        <v>24</v>
      </c>
      <c r="B15" s="46">
        <f aca="true" t="shared" si="5" ref="B15:K15">SUM(B11:B14)</f>
        <v>830.4550547992333</v>
      </c>
      <c r="C15" s="47">
        <f t="shared" si="5"/>
        <v>70.5</v>
      </c>
      <c r="D15" s="48">
        <f t="shared" si="5"/>
        <v>70.5</v>
      </c>
      <c r="E15" s="15">
        <f t="shared" si="5"/>
        <v>211.29999999999998</v>
      </c>
      <c r="F15" s="17">
        <f t="shared" si="5"/>
        <v>313.8</v>
      </c>
      <c r="G15" s="17">
        <f t="shared" si="5"/>
        <v>186.90000000000003</v>
      </c>
      <c r="H15" s="45">
        <f>H11+H13</f>
        <v>782.4999999999999</v>
      </c>
      <c r="I15" s="45">
        <f>I11+I13</f>
        <v>782.4999999999999</v>
      </c>
      <c r="J15" s="47">
        <f t="shared" si="5"/>
        <v>-47.95505479923337</v>
      </c>
      <c r="K15" s="48">
        <f t="shared" si="5"/>
        <v>-47.95505479923337</v>
      </c>
    </row>
    <row r="17" spans="1:2" ht="38.25">
      <c r="A17" s="30" t="s">
        <v>17</v>
      </c>
      <c r="B17" s="44">
        <f>20+30*B4/Total!B4</f>
        <v>29.07357349977884</v>
      </c>
    </row>
    <row r="18" spans="1:2" ht="12.75">
      <c r="A18" s="1" t="s">
        <v>16</v>
      </c>
      <c r="B18" s="49">
        <f>B15+B17</f>
        <v>859.5286282990121</v>
      </c>
    </row>
    <row r="20" ht="14.25">
      <c r="A20" s="31" t="s">
        <v>32</v>
      </c>
    </row>
  </sheetData>
  <mergeCells count="5">
    <mergeCell ref="H1:I1"/>
    <mergeCell ref="J1:K1"/>
    <mergeCell ref="A1:A3"/>
    <mergeCell ref="E1:G2"/>
    <mergeCell ref="C1:D1"/>
  </mergeCells>
  <printOptions/>
  <pageMargins left="0.75" right="0.75" top="1" bottom="0.41" header="0.36" footer="0.17"/>
  <pageSetup horizontalDpi="600" verticalDpi="600" orientation="landscape" paperSize="9" r:id="rId1"/>
  <headerFooter alignWithMargins="0">
    <oddHeader>&amp;C&amp;"Arial,Bold"&amp;14Finance summary with actual spend to the end of the financial year 2005/06 (all figures in £k)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:A3"/>
    </sheetView>
  </sheetViews>
  <sheetFormatPr defaultColWidth="9.140625" defaultRowHeight="12.75"/>
  <cols>
    <col min="1" max="1" width="15.421875" style="1" customWidth="1"/>
    <col min="2" max="2" width="13.8515625" style="0" customWidth="1"/>
    <col min="3" max="7" width="10.7109375" style="0" customWidth="1"/>
    <col min="8" max="11" width="10.7109375" style="25" customWidth="1"/>
  </cols>
  <sheetData>
    <row r="1" spans="1:11" ht="31.5" customHeight="1">
      <c r="A1" s="64" t="s">
        <v>26</v>
      </c>
      <c r="B1" s="33" t="s">
        <v>0</v>
      </c>
      <c r="C1" s="61" t="s">
        <v>22</v>
      </c>
      <c r="D1" s="62"/>
      <c r="E1" s="61" t="s">
        <v>9</v>
      </c>
      <c r="F1" s="67"/>
      <c r="G1" s="67"/>
      <c r="H1" s="61" t="s">
        <v>12</v>
      </c>
      <c r="I1" s="62"/>
      <c r="J1" s="61" t="s">
        <v>14</v>
      </c>
      <c r="K1" s="63"/>
    </row>
    <row r="2" spans="1:11" ht="31.5" customHeight="1">
      <c r="A2" s="65"/>
      <c r="B2" s="2" t="s">
        <v>34</v>
      </c>
      <c r="C2" s="18" t="s">
        <v>5</v>
      </c>
      <c r="D2" s="23" t="s">
        <v>33</v>
      </c>
      <c r="E2" s="68"/>
      <c r="F2" s="69"/>
      <c r="G2" s="69"/>
      <c r="H2" s="18" t="s">
        <v>13</v>
      </c>
      <c r="I2" s="19" t="s">
        <v>35</v>
      </c>
      <c r="J2" s="18" t="s">
        <v>37</v>
      </c>
      <c r="K2" s="19" t="s">
        <v>36</v>
      </c>
    </row>
    <row r="3" spans="1:11" ht="15.75">
      <c r="A3" s="66"/>
      <c r="B3" s="3" t="s">
        <v>6</v>
      </c>
      <c r="C3" s="20" t="s">
        <v>7</v>
      </c>
      <c r="D3" s="29" t="s">
        <v>8</v>
      </c>
      <c r="E3" s="35" t="s">
        <v>1</v>
      </c>
      <c r="F3" s="36" t="s">
        <v>2</v>
      </c>
      <c r="G3" s="36" t="s">
        <v>23</v>
      </c>
      <c r="H3" s="21" t="s">
        <v>10</v>
      </c>
      <c r="I3" s="22" t="s">
        <v>11</v>
      </c>
      <c r="J3" s="26"/>
      <c r="K3" s="27"/>
    </row>
    <row r="4" spans="1:11" ht="36.75" customHeight="1">
      <c r="A4" s="4" t="s">
        <v>18</v>
      </c>
      <c r="B4" s="7">
        <f>603.6+133.9</f>
        <v>737.5</v>
      </c>
      <c r="C4" s="39">
        <v>67</v>
      </c>
      <c r="D4" s="40">
        <v>67</v>
      </c>
      <c r="E4" s="9">
        <v>143.3</v>
      </c>
      <c r="F4" s="10">
        <v>269.1</v>
      </c>
      <c r="G4" s="42">
        <v>265.9</v>
      </c>
      <c r="H4" s="9">
        <f aca="true" t="shared" si="0" ref="H4:H9">C4+E4+F4+G4</f>
        <v>745.3</v>
      </c>
      <c r="I4" s="11">
        <f aca="true" t="shared" si="1" ref="I4:I9">D4+E4+F4+G4</f>
        <v>745.3</v>
      </c>
      <c r="J4" s="39">
        <f aca="true" t="shared" si="2" ref="J4:J9">H4-B4</f>
        <v>7.7999999999999545</v>
      </c>
      <c r="K4" s="43">
        <f aca="true" t="shared" si="3" ref="K4:K9">I4-B4</f>
        <v>7.7999999999999545</v>
      </c>
    </row>
    <row r="5" spans="1:11" ht="36.75" customHeight="1">
      <c r="A5" s="5" t="s">
        <v>15</v>
      </c>
      <c r="B5" s="53">
        <f>124/12</f>
        <v>10.333333333333334</v>
      </c>
      <c r="C5" s="52">
        <f>10/12</f>
        <v>0.8333333333333334</v>
      </c>
      <c r="D5" s="52">
        <f>10/12</f>
        <v>0.8333333333333334</v>
      </c>
      <c r="E5" s="55">
        <f>24/12</f>
        <v>2</v>
      </c>
      <c r="F5" s="56">
        <f>47/12</f>
        <v>3.9166666666666665</v>
      </c>
      <c r="G5" s="56">
        <f>45/12</f>
        <v>3.75</v>
      </c>
      <c r="H5" s="57">
        <f t="shared" si="0"/>
        <v>10.5</v>
      </c>
      <c r="I5" s="58">
        <f t="shared" si="1"/>
        <v>10.5</v>
      </c>
      <c r="J5" s="57">
        <f t="shared" si="2"/>
        <v>0.16666666666666607</v>
      </c>
      <c r="K5" s="59">
        <f t="shared" si="3"/>
        <v>0.16666666666666607</v>
      </c>
    </row>
    <row r="6" spans="1:11" ht="18.75">
      <c r="A6" s="5" t="s">
        <v>19</v>
      </c>
      <c r="B6" s="8">
        <v>206.6</v>
      </c>
      <c r="C6" s="37">
        <v>0</v>
      </c>
      <c r="D6" s="38">
        <v>0</v>
      </c>
      <c r="E6" s="37">
        <v>3.1</v>
      </c>
      <c r="F6" s="41">
        <v>95</v>
      </c>
      <c r="G6" s="13">
        <v>108.5</v>
      </c>
      <c r="H6" s="12">
        <f t="shared" si="0"/>
        <v>206.6</v>
      </c>
      <c r="I6" s="14">
        <f t="shared" si="1"/>
        <v>206.6</v>
      </c>
      <c r="J6" s="12">
        <f t="shared" si="2"/>
        <v>0</v>
      </c>
      <c r="K6" s="28">
        <f t="shared" si="3"/>
        <v>0</v>
      </c>
    </row>
    <row r="7" spans="1:11" ht="15.75">
      <c r="A7" s="5" t="s">
        <v>3</v>
      </c>
      <c r="B7" s="8">
        <v>30.9</v>
      </c>
      <c r="C7" s="37">
        <v>1</v>
      </c>
      <c r="D7" s="38">
        <v>1</v>
      </c>
      <c r="E7" s="12">
        <v>5.1</v>
      </c>
      <c r="F7" s="13">
        <v>7.4</v>
      </c>
      <c r="G7" s="13">
        <v>17.4</v>
      </c>
      <c r="H7" s="37">
        <f t="shared" si="0"/>
        <v>30.9</v>
      </c>
      <c r="I7" s="38">
        <f t="shared" si="1"/>
        <v>30.9</v>
      </c>
      <c r="J7" s="12">
        <f t="shared" si="2"/>
        <v>0</v>
      </c>
      <c r="K7" s="28">
        <f t="shared" si="3"/>
        <v>0</v>
      </c>
    </row>
    <row r="8" spans="1:11" ht="18.75">
      <c r="A8" s="5" t="s">
        <v>20</v>
      </c>
      <c r="B8" s="8">
        <v>59.2</v>
      </c>
      <c r="C8" s="37">
        <v>2</v>
      </c>
      <c r="D8" s="38">
        <v>2</v>
      </c>
      <c r="E8" s="37">
        <v>1</v>
      </c>
      <c r="F8" s="13">
        <v>9.5</v>
      </c>
      <c r="G8" s="41">
        <v>46.7</v>
      </c>
      <c r="H8" s="12">
        <f t="shared" si="0"/>
        <v>59.2</v>
      </c>
      <c r="I8" s="14">
        <f t="shared" si="1"/>
        <v>59.2</v>
      </c>
      <c r="J8" s="12">
        <f t="shared" si="2"/>
        <v>0</v>
      </c>
      <c r="K8" s="28">
        <f t="shared" si="3"/>
        <v>0</v>
      </c>
    </row>
    <row r="9" spans="1:11" ht="18.75">
      <c r="A9" s="5" t="s">
        <v>21</v>
      </c>
      <c r="B9" s="8">
        <v>0</v>
      </c>
      <c r="C9" s="12">
        <v>0</v>
      </c>
      <c r="D9" s="14">
        <v>0</v>
      </c>
      <c r="E9" s="12">
        <v>0</v>
      </c>
      <c r="F9" s="13">
        <v>0</v>
      </c>
      <c r="G9" s="13">
        <v>0</v>
      </c>
      <c r="H9" s="12">
        <f t="shared" si="0"/>
        <v>0</v>
      </c>
      <c r="I9" s="14">
        <f t="shared" si="1"/>
        <v>0</v>
      </c>
      <c r="J9" s="12">
        <f t="shared" si="2"/>
        <v>0</v>
      </c>
      <c r="K9" s="28">
        <f t="shared" si="3"/>
        <v>0</v>
      </c>
    </row>
    <row r="10" spans="1:11" ht="12.75">
      <c r="A10" s="32"/>
      <c r="B10" s="8"/>
      <c r="C10" s="12"/>
      <c r="D10" s="14"/>
      <c r="E10" s="12"/>
      <c r="F10" s="13"/>
      <c r="G10" s="13"/>
      <c r="H10" s="12"/>
      <c r="I10" s="14"/>
      <c r="J10" s="12"/>
      <c r="K10" s="28"/>
    </row>
    <row r="11" spans="1:11" ht="31.5">
      <c r="A11" s="5" t="s">
        <v>25</v>
      </c>
      <c r="B11" s="44">
        <f aca="true" t="shared" si="4" ref="B11:K11">B4+B6+B7+B8+B9</f>
        <v>1034.2</v>
      </c>
      <c r="C11" s="37">
        <f t="shared" si="4"/>
        <v>70</v>
      </c>
      <c r="D11" s="38">
        <f t="shared" si="4"/>
        <v>70</v>
      </c>
      <c r="E11" s="12">
        <f t="shared" si="4"/>
        <v>152.5</v>
      </c>
      <c r="F11" s="13">
        <f t="shared" si="4"/>
        <v>381</v>
      </c>
      <c r="G11" s="13">
        <f t="shared" si="4"/>
        <v>438.49999999999994</v>
      </c>
      <c r="H11" s="12">
        <f t="shared" si="4"/>
        <v>1042</v>
      </c>
      <c r="I11" s="14">
        <f t="shared" si="4"/>
        <v>1042</v>
      </c>
      <c r="J11" s="12">
        <f t="shared" si="4"/>
        <v>7.7999999999999545</v>
      </c>
      <c r="K11" s="14">
        <f t="shared" si="4"/>
        <v>7.7999999999999545</v>
      </c>
    </row>
    <row r="12" spans="1:11" ht="15.75">
      <c r="A12" s="5"/>
      <c r="B12" s="8"/>
      <c r="C12" s="12"/>
      <c r="D12" s="14"/>
      <c r="E12" s="12"/>
      <c r="F12" s="13"/>
      <c r="G12" s="13"/>
      <c r="H12" s="12"/>
      <c r="I12" s="14"/>
      <c r="J12" s="12"/>
      <c r="K12" s="28"/>
    </row>
    <row r="13" spans="1:11" s="34" customFormat="1" ht="31.5">
      <c r="A13" s="5" t="s">
        <v>4</v>
      </c>
      <c r="B13" s="44">
        <f>23+104*B4/Total!B4</f>
        <v>60.69597483658525</v>
      </c>
      <c r="C13" s="12">
        <v>0</v>
      </c>
      <c r="D13" s="14">
        <v>0</v>
      </c>
      <c r="E13" s="12">
        <v>0</v>
      </c>
      <c r="F13" s="13">
        <v>0</v>
      </c>
      <c r="G13" s="13">
        <v>0</v>
      </c>
      <c r="H13" s="12">
        <f>C13+E13+F13+G13</f>
        <v>0</v>
      </c>
      <c r="I13" s="12">
        <f>D13+F13+G13+H13</f>
        <v>0</v>
      </c>
      <c r="J13" s="37">
        <f>H13-B13</f>
        <v>-60.69597483658525</v>
      </c>
      <c r="K13" s="50">
        <f>I13-B13</f>
        <v>-60.69597483658525</v>
      </c>
    </row>
    <row r="14" spans="1:11" s="34" customFormat="1" ht="15.75">
      <c r="A14" s="5"/>
      <c r="B14" s="8"/>
      <c r="C14" s="12"/>
      <c r="D14" s="14"/>
      <c r="E14" s="12"/>
      <c r="F14" s="13"/>
      <c r="G14" s="13"/>
      <c r="H14" s="12"/>
      <c r="I14" s="14"/>
      <c r="J14" s="37"/>
      <c r="K14" s="50"/>
    </row>
    <row r="15" spans="1:11" s="24" customFormat="1" ht="33.75" customHeight="1">
      <c r="A15" s="6" t="s">
        <v>24</v>
      </c>
      <c r="B15" s="46">
        <f aca="true" t="shared" si="5" ref="B15:G15">SUM(B11:B14)</f>
        <v>1094.8959748365853</v>
      </c>
      <c r="C15" s="47">
        <f t="shared" si="5"/>
        <v>70</v>
      </c>
      <c r="D15" s="48">
        <f t="shared" si="5"/>
        <v>70</v>
      </c>
      <c r="E15" s="15">
        <f t="shared" si="5"/>
        <v>152.5</v>
      </c>
      <c r="F15" s="17">
        <f t="shared" si="5"/>
        <v>381</v>
      </c>
      <c r="G15" s="17">
        <f t="shared" si="5"/>
        <v>438.49999999999994</v>
      </c>
      <c r="H15" s="45">
        <f>H11+H13</f>
        <v>1042</v>
      </c>
      <c r="I15" s="45">
        <f>I11+I13</f>
        <v>1042</v>
      </c>
      <c r="J15" s="47">
        <f>SUM(J11:J14)</f>
        <v>-52.895974836585296</v>
      </c>
      <c r="K15" s="48">
        <f>SUM(K11:K14)</f>
        <v>-52.895974836585296</v>
      </c>
    </row>
    <row r="17" spans="1:2" ht="38.25">
      <c r="A17" s="30" t="s">
        <v>17</v>
      </c>
      <c r="B17" s="44">
        <f>76+30*B4/Total!B4</f>
        <v>86.87383889516882</v>
      </c>
    </row>
    <row r="18" spans="1:2" ht="12.75">
      <c r="A18" s="1" t="s">
        <v>16</v>
      </c>
      <c r="B18" s="49">
        <f>B15+B17</f>
        <v>1181.769813731754</v>
      </c>
    </row>
    <row r="20" ht="14.25">
      <c r="A20" s="31" t="s">
        <v>32</v>
      </c>
    </row>
  </sheetData>
  <mergeCells count="5">
    <mergeCell ref="H1:I1"/>
    <mergeCell ref="J1:K1"/>
    <mergeCell ref="A1:A3"/>
    <mergeCell ref="E1:G2"/>
    <mergeCell ref="C1:D1"/>
  </mergeCells>
  <printOptions/>
  <pageMargins left="0.75" right="0.75" top="1" bottom="0.41" header="0.36" footer="0.17"/>
  <pageSetup horizontalDpi="600" verticalDpi="600" orientation="landscape" paperSize="9" r:id="rId1"/>
  <headerFooter alignWithMargins="0">
    <oddHeader>&amp;C&amp;"Arial,Bold"&amp;14Finance summary with actual spend to the end of the financial year 2005/06 (all figures in £k)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:A3"/>
    </sheetView>
  </sheetViews>
  <sheetFormatPr defaultColWidth="9.140625" defaultRowHeight="12.75"/>
  <cols>
    <col min="1" max="1" width="15.421875" style="1" customWidth="1"/>
    <col min="2" max="2" width="13.8515625" style="0" customWidth="1"/>
    <col min="3" max="7" width="10.7109375" style="0" customWidth="1"/>
    <col min="8" max="11" width="10.7109375" style="25" customWidth="1"/>
  </cols>
  <sheetData>
    <row r="1" spans="1:11" ht="31.5" customHeight="1">
      <c r="A1" s="64" t="s">
        <v>29</v>
      </c>
      <c r="B1" s="33" t="s">
        <v>0</v>
      </c>
      <c r="C1" s="61" t="s">
        <v>22</v>
      </c>
      <c r="D1" s="62"/>
      <c r="E1" s="61" t="s">
        <v>9</v>
      </c>
      <c r="F1" s="67"/>
      <c r="G1" s="67"/>
      <c r="H1" s="61" t="s">
        <v>12</v>
      </c>
      <c r="I1" s="62"/>
      <c r="J1" s="61" t="s">
        <v>14</v>
      </c>
      <c r="K1" s="63"/>
    </row>
    <row r="2" spans="1:11" ht="31.5" customHeight="1">
      <c r="A2" s="65"/>
      <c r="B2" s="2" t="s">
        <v>34</v>
      </c>
      <c r="C2" s="18" t="s">
        <v>5</v>
      </c>
      <c r="D2" s="23" t="s">
        <v>33</v>
      </c>
      <c r="E2" s="68"/>
      <c r="F2" s="69"/>
      <c r="G2" s="69"/>
      <c r="H2" s="18" t="s">
        <v>13</v>
      </c>
      <c r="I2" s="19" t="s">
        <v>35</v>
      </c>
      <c r="J2" s="18" t="s">
        <v>37</v>
      </c>
      <c r="K2" s="19" t="s">
        <v>36</v>
      </c>
    </row>
    <row r="3" spans="1:11" ht="15.75">
      <c r="A3" s="66"/>
      <c r="B3" s="3" t="s">
        <v>6</v>
      </c>
      <c r="C3" s="20" t="s">
        <v>7</v>
      </c>
      <c r="D3" s="29" t="s">
        <v>8</v>
      </c>
      <c r="E3" s="35" t="s">
        <v>1</v>
      </c>
      <c r="F3" s="36" t="s">
        <v>2</v>
      </c>
      <c r="G3" s="36" t="s">
        <v>23</v>
      </c>
      <c r="H3" s="21" t="s">
        <v>10</v>
      </c>
      <c r="I3" s="22" t="s">
        <v>11</v>
      </c>
      <c r="J3" s="26"/>
      <c r="K3" s="27"/>
    </row>
    <row r="4" spans="1:11" ht="36.75" customHeight="1">
      <c r="A4" s="4" t="s">
        <v>18</v>
      </c>
      <c r="B4" s="7">
        <v>152.1</v>
      </c>
      <c r="C4" s="39">
        <v>21</v>
      </c>
      <c r="D4" s="40">
        <v>21</v>
      </c>
      <c r="E4" s="9">
        <v>22.7</v>
      </c>
      <c r="F4" s="10">
        <v>52.4</v>
      </c>
      <c r="G4" s="42">
        <v>56</v>
      </c>
      <c r="H4" s="9">
        <f aca="true" t="shared" si="0" ref="H4:H9">C4+E4+F4+G4</f>
        <v>152.1</v>
      </c>
      <c r="I4" s="11">
        <f aca="true" t="shared" si="1" ref="I4:I9">D4+E4+F4+G4</f>
        <v>152.1</v>
      </c>
      <c r="J4" s="39">
        <f aca="true" t="shared" si="2" ref="J4:J9">H4-B4</f>
        <v>0</v>
      </c>
      <c r="K4" s="43">
        <f aca="true" t="shared" si="3" ref="K4:K9">I4-B4</f>
        <v>0</v>
      </c>
    </row>
    <row r="5" spans="1:11" ht="36.75" customHeight="1">
      <c r="A5" s="5" t="s">
        <v>15</v>
      </c>
      <c r="B5" s="53">
        <f>30/12</f>
        <v>2.5</v>
      </c>
      <c r="C5" s="52">
        <f>5/12</f>
        <v>0.4166666666666667</v>
      </c>
      <c r="D5" s="52">
        <f>5/12</f>
        <v>0.4166666666666667</v>
      </c>
      <c r="E5" s="55">
        <f>5/12</f>
        <v>0.4166666666666667</v>
      </c>
      <c r="F5" s="56">
        <f>10/12</f>
        <v>0.8333333333333334</v>
      </c>
      <c r="G5" s="56">
        <f>10/12</f>
        <v>0.8333333333333334</v>
      </c>
      <c r="H5" s="57">
        <f t="shared" si="0"/>
        <v>2.5</v>
      </c>
      <c r="I5" s="58">
        <f t="shared" si="1"/>
        <v>2.5</v>
      </c>
      <c r="J5" s="57">
        <f t="shared" si="2"/>
        <v>0</v>
      </c>
      <c r="K5" s="59">
        <f t="shared" si="3"/>
        <v>0</v>
      </c>
    </row>
    <row r="6" spans="1:11" ht="18.75">
      <c r="A6" s="5" t="s">
        <v>19</v>
      </c>
      <c r="B6" s="8">
        <v>19.5</v>
      </c>
      <c r="C6" s="37">
        <v>0</v>
      </c>
      <c r="D6" s="38">
        <v>0</v>
      </c>
      <c r="E6" s="37">
        <v>0</v>
      </c>
      <c r="F6" s="13">
        <v>2.1</v>
      </c>
      <c r="G6" s="13">
        <v>17.4</v>
      </c>
      <c r="H6" s="12">
        <f t="shared" si="0"/>
        <v>19.5</v>
      </c>
      <c r="I6" s="14">
        <f t="shared" si="1"/>
        <v>19.5</v>
      </c>
      <c r="J6" s="12">
        <f t="shared" si="2"/>
        <v>0</v>
      </c>
      <c r="K6" s="28">
        <f t="shared" si="3"/>
        <v>0</v>
      </c>
    </row>
    <row r="7" spans="1:11" ht="15.75">
      <c r="A7" s="5" t="s">
        <v>3</v>
      </c>
      <c r="B7" s="8">
        <v>4.2</v>
      </c>
      <c r="C7" s="37">
        <v>1</v>
      </c>
      <c r="D7" s="38">
        <v>1</v>
      </c>
      <c r="E7" s="37">
        <v>1</v>
      </c>
      <c r="F7" s="13">
        <v>1.1</v>
      </c>
      <c r="G7" s="13">
        <v>1.1</v>
      </c>
      <c r="H7" s="37">
        <f t="shared" si="0"/>
        <v>4.2</v>
      </c>
      <c r="I7" s="38">
        <f t="shared" si="1"/>
        <v>4.2</v>
      </c>
      <c r="J7" s="12">
        <f t="shared" si="2"/>
        <v>0</v>
      </c>
      <c r="K7" s="28">
        <f t="shared" si="3"/>
        <v>0</v>
      </c>
    </row>
    <row r="8" spans="1:11" ht="18.75">
      <c r="A8" s="5" t="s">
        <v>20</v>
      </c>
      <c r="B8" s="8">
        <v>9.5</v>
      </c>
      <c r="C8" s="37">
        <v>0</v>
      </c>
      <c r="D8" s="38">
        <v>0</v>
      </c>
      <c r="E8" s="37">
        <v>3.1</v>
      </c>
      <c r="F8" s="13">
        <v>2.1</v>
      </c>
      <c r="G8" s="41">
        <v>4.3</v>
      </c>
      <c r="H8" s="12">
        <f t="shared" si="0"/>
        <v>9.5</v>
      </c>
      <c r="I8" s="14">
        <f t="shared" si="1"/>
        <v>9.5</v>
      </c>
      <c r="J8" s="12">
        <f t="shared" si="2"/>
        <v>0</v>
      </c>
      <c r="K8" s="28">
        <f t="shared" si="3"/>
        <v>0</v>
      </c>
    </row>
    <row r="9" spans="1:11" ht="18.75">
      <c r="A9" s="5" t="s">
        <v>21</v>
      </c>
      <c r="B9" s="8">
        <v>0</v>
      </c>
      <c r="C9" s="12">
        <v>0</v>
      </c>
      <c r="D9" s="14">
        <v>0</v>
      </c>
      <c r="E9" s="12">
        <v>0</v>
      </c>
      <c r="F9" s="13">
        <v>0</v>
      </c>
      <c r="G9" s="13">
        <v>0</v>
      </c>
      <c r="H9" s="12">
        <f t="shared" si="0"/>
        <v>0</v>
      </c>
      <c r="I9" s="14">
        <f t="shared" si="1"/>
        <v>0</v>
      </c>
      <c r="J9" s="12">
        <f t="shared" si="2"/>
        <v>0</v>
      </c>
      <c r="K9" s="28">
        <f t="shared" si="3"/>
        <v>0</v>
      </c>
    </row>
    <row r="10" spans="1:11" ht="12.75">
      <c r="A10" s="32"/>
      <c r="B10" s="8"/>
      <c r="C10" s="12"/>
      <c r="D10" s="14"/>
      <c r="E10" s="12"/>
      <c r="F10" s="13"/>
      <c r="G10" s="13"/>
      <c r="H10" s="12"/>
      <c r="I10" s="14"/>
      <c r="J10" s="12"/>
      <c r="K10" s="28"/>
    </row>
    <row r="11" spans="1:11" ht="31.5">
      <c r="A11" s="5" t="s">
        <v>25</v>
      </c>
      <c r="B11" s="44">
        <f aca="true" t="shared" si="4" ref="B11:K11">B4+B6+B7+B8+B9</f>
        <v>185.29999999999998</v>
      </c>
      <c r="C11" s="37">
        <f t="shared" si="4"/>
        <v>22</v>
      </c>
      <c r="D11" s="38">
        <f t="shared" si="4"/>
        <v>22</v>
      </c>
      <c r="E11" s="12">
        <f t="shared" si="4"/>
        <v>26.8</v>
      </c>
      <c r="F11" s="13">
        <f t="shared" si="4"/>
        <v>57.7</v>
      </c>
      <c r="G11" s="13">
        <f t="shared" si="4"/>
        <v>78.8</v>
      </c>
      <c r="H11" s="12">
        <f t="shared" si="4"/>
        <v>185.29999999999998</v>
      </c>
      <c r="I11" s="14">
        <f t="shared" si="4"/>
        <v>185.29999999999998</v>
      </c>
      <c r="J11" s="12">
        <f t="shared" si="4"/>
        <v>0</v>
      </c>
      <c r="K11" s="14">
        <f t="shared" si="4"/>
        <v>0</v>
      </c>
    </row>
    <row r="12" spans="1:11" ht="15.75">
      <c r="A12" s="5"/>
      <c r="B12" s="8"/>
      <c r="C12" s="12"/>
      <c r="D12" s="14"/>
      <c r="E12" s="12"/>
      <c r="F12" s="13"/>
      <c r="G12" s="13"/>
      <c r="H12" s="12"/>
      <c r="I12" s="14"/>
      <c r="J12" s="12"/>
      <c r="K12" s="28"/>
    </row>
    <row r="13" spans="1:11" s="34" customFormat="1" ht="31.5">
      <c r="A13" s="5" t="s">
        <v>4</v>
      </c>
      <c r="B13" s="44">
        <f>3+104*B4/Total!B4</f>
        <v>10.774315623924902</v>
      </c>
      <c r="C13" s="12">
        <v>0</v>
      </c>
      <c r="D13" s="14">
        <v>0</v>
      </c>
      <c r="E13" s="12">
        <v>0</v>
      </c>
      <c r="F13" s="13">
        <v>0</v>
      </c>
      <c r="G13" s="13">
        <v>0</v>
      </c>
      <c r="H13" s="12">
        <f>C13+E13+F13+G13</f>
        <v>0</v>
      </c>
      <c r="I13" s="12">
        <f>D13+F13+G13+H13</f>
        <v>0</v>
      </c>
      <c r="J13" s="37">
        <f>H13-B13</f>
        <v>-10.774315623924902</v>
      </c>
      <c r="K13" s="50">
        <f>I13-B13</f>
        <v>-10.774315623924902</v>
      </c>
    </row>
    <row r="14" spans="1:11" s="34" customFormat="1" ht="15.75">
      <c r="A14" s="5"/>
      <c r="B14" s="8"/>
      <c r="C14" s="12"/>
      <c r="D14" s="14"/>
      <c r="E14" s="12"/>
      <c r="F14" s="13"/>
      <c r="G14" s="13"/>
      <c r="H14" s="12"/>
      <c r="I14" s="14"/>
      <c r="J14" s="37"/>
      <c r="K14" s="50"/>
    </row>
    <row r="15" spans="1:11" s="24" customFormat="1" ht="33.75" customHeight="1">
      <c r="A15" s="6" t="s">
        <v>24</v>
      </c>
      <c r="B15" s="46">
        <f aca="true" t="shared" si="5" ref="B15:G15">SUM(B11:B14)</f>
        <v>196.0743156239249</v>
      </c>
      <c r="C15" s="47">
        <f t="shared" si="5"/>
        <v>22</v>
      </c>
      <c r="D15" s="48">
        <f t="shared" si="5"/>
        <v>22</v>
      </c>
      <c r="E15" s="15">
        <f t="shared" si="5"/>
        <v>26.8</v>
      </c>
      <c r="F15" s="17">
        <f t="shared" si="5"/>
        <v>57.7</v>
      </c>
      <c r="G15" s="17">
        <f t="shared" si="5"/>
        <v>78.8</v>
      </c>
      <c r="H15" s="45">
        <f>H11+H13</f>
        <v>185.29999999999998</v>
      </c>
      <c r="I15" s="45">
        <f>I11+I13</f>
        <v>185.29999999999998</v>
      </c>
      <c r="J15" s="47">
        <f>SUM(J11:J14)</f>
        <v>-10.774315623924902</v>
      </c>
      <c r="K15" s="48">
        <f>SUM(K11:K14)</f>
        <v>-10.774315623924902</v>
      </c>
    </row>
    <row r="17" spans="1:2" ht="38.25">
      <c r="A17" s="30" t="s">
        <v>17</v>
      </c>
      <c r="B17" s="44">
        <f>0+30*B4/Total!B4</f>
        <v>2.242591045362953</v>
      </c>
    </row>
    <row r="18" spans="1:2" ht="12.75">
      <c r="A18" s="1" t="s">
        <v>16</v>
      </c>
      <c r="B18" s="49">
        <f>B15+B17</f>
        <v>198.31690666928785</v>
      </c>
    </row>
    <row r="20" ht="14.25">
      <c r="A20" s="31" t="s">
        <v>32</v>
      </c>
    </row>
  </sheetData>
  <mergeCells count="5">
    <mergeCell ref="H1:I1"/>
    <mergeCell ref="J1:K1"/>
    <mergeCell ref="A1:A3"/>
    <mergeCell ref="E1:G2"/>
    <mergeCell ref="C1:D1"/>
  </mergeCells>
  <printOptions/>
  <pageMargins left="0.75" right="0.75" top="1" bottom="0.41" header="0.36" footer="0.17"/>
  <pageSetup horizontalDpi="600" verticalDpi="600" orientation="landscape" paperSize="9" r:id="rId1"/>
  <headerFooter alignWithMargins="0">
    <oddHeader>&amp;C&amp;"Arial,Bold"&amp;14Finance summary with actual spend to the end of the financial year 2005/06 (all figures in £k)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:A3"/>
    </sheetView>
  </sheetViews>
  <sheetFormatPr defaultColWidth="9.140625" defaultRowHeight="12.75"/>
  <cols>
    <col min="1" max="1" width="15.421875" style="1" customWidth="1"/>
    <col min="2" max="2" width="13.8515625" style="0" customWidth="1"/>
    <col min="3" max="7" width="10.7109375" style="0" customWidth="1"/>
    <col min="8" max="11" width="10.7109375" style="25" customWidth="1"/>
  </cols>
  <sheetData>
    <row r="1" spans="1:11" ht="31.5" customHeight="1">
      <c r="A1" s="64" t="s">
        <v>30</v>
      </c>
      <c r="B1" s="33" t="s">
        <v>0</v>
      </c>
      <c r="C1" s="61" t="s">
        <v>22</v>
      </c>
      <c r="D1" s="62"/>
      <c r="E1" s="61" t="s">
        <v>9</v>
      </c>
      <c r="F1" s="67"/>
      <c r="G1" s="67"/>
      <c r="H1" s="61" t="s">
        <v>12</v>
      </c>
      <c r="I1" s="62"/>
      <c r="J1" s="61" t="s">
        <v>14</v>
      </c>
      <c r="K1" s="63"/>
    </row>
    <row r="2" spans="1:11" ht="31.5" customHeight="1">
      <c r="A2" s="65"/>
      <c r="B2" s="2" t="s">
        <v>34</v>
      </c>
      <c r="C2" s="18" t="s">
        <v>5</v>
      </c>
      <c r="D2" s="23" t="s">
        <v>33</v>
      </c>
      <c r="E2" s="68"/>
      <c r="F2" s="69"/>
      <c r="G2" s="69"/>
      <c r="H2" s="18" t="s">
        <v>13</v>
      </c>
      <c r="I2" s="19" t="s">
        <v>35</v>
      </c>
      <c r="J2" s="18" t="s">
        <v>37</v>
      </c>
      <c r="K2" s="19" t="s">
        <v>36</v>
      </c>
    </row>
    <row r="3" spans="1:11" ht="15.75">
      <c r="A3" s="66"/>
      <c r="B3" s="3" t="s">
        <v>6</v>
      </c>
      <c r="C3" s="20" t="s">
        <v>7</v>
      </c>
      <c r="D3" s="29" t="s">
        <v>8</v>
      </c>
      <c r="E3" s="35" t="s">
        <v>1</v>
      </c>
      <c r="F3" s="36" t="s">
        <v>2</v>
      </c>
      <c r="G3" s="36" t="s">
        <v>23</v>
      </c>
      <c r="H3" s="21" t="s">
        <v>10</v>
      </c>
      <c r="I3" s="22" t="s">
        <v>11</v>
      </c>
      <c r="J3" s="26"/>
      <c r="K3" s="27"/>
    </row>
    <row r="4" spans="1:11" ht="36.75" customHeight="1">
      <c r="A4" s="4" t="s">
        <v>18</v>
      </c>
      <c r="B4" s="7">
        <f>278.3+75.8</f>
        <v>354.1</v>
      </c>
      <c r="C4" s="39">
        <v>8</v>
      </c>
      <c r="D4" s="40">
        <v>8</v>
      </c>
      <c r="E4" s="9">
        <f>69.4+5.1</f>
        <v>74.5</v>
      </c>
      <c r="F4" s="10">
        <f>138.4+31.8</f>
        <v>170.20000000000002</v>
      </c>
      <c r="G4" s="42">
        <v>99.6</v>
      </c>
      <c r="H4" s="39">
        <f aca="true" t="shared" si="0" ref="H4:H9">C4+E4+F4+G4</f>
        <v>352.3</v>
      </c>
      <c r="I4" s="40">
        <f aca="true" t="shared" si="1" ref="I4:I9">D4+E4+F4+G4</f>
        <v>352.3</v>
      </c>
      <c r="J4" s="39">
        <f aca="true" t="shared" si="2" ref="J4:J9">H4-B4</f>
        <v>-1.8000000000000114</v>
      </c>
      <c r="K4" s="43">
        <f aca="true" t="shared" si="3" ref="K4:K9">I4-B4</f>
        <v>-1.8000000000000114</v>
      </c>
    </row>
    <row r="5" spans="1:11" ht="36.75" customHeight="1">
      <c r="A5" s="5" t="s">
        <v>15</v>
      </c>
      <c r="B5" s="53">
        <f>86/12</f>
        <v>7.166666666666667</v>
      </c>
      <c r="C5" s="52">
        <f>2/12</f>
        <v>0.16666666666666666</v>
      </c>
      <c r="D5" s="54">
        <f>2/12</f>
        <v>0.16666666666666666</v>
      </c>
      <c r="E5" s="55">
        <f>20/12</f>
        <v>1.6666666666666667</v>
      </c>
      <c r="F5" s="56">
        <f>41/12</f>
        <v>3.4166666666666665</v>
      </c>
      <c r="G5" s="56">
        <f>22/12</f>
        <v>1.8333333333333333</v>
      </c>
      <c r="H5" s="57">
        <f t="shared" si="0"/>
        <v>7.083333333333333</v>
      </c>
      <c r="I5" s="58">
        <f t="shared" si="1"/>
        <v>7.083333333333333</v>
      </c>
      <c r="J5" s="57">
        <f t="shared" si="2"/>
        <v>-0.08333333333333393</v>
      </c>
      <c r="K5" s="59">
        <f t="shared" si="3"/>
        <v>-0.08333333333333393</v>
      </c>
    </row>
    <row r="6" spans="1:11" ht="18.75">
      <c r="A6" s="5" t="s">
        <v>19</v>
      </c>
      <c r="B6" s="44">
        <v>0</v>
      </c>
      <c r="C6" s="37">
        <v>0</v>
      </c>
      <c r="D6" s="38">
        <v>0</v>
      </c>
      <c r="E6" s="37">
        <v>0</v>
      </c>
      <c r="F6" s="41">
        <v>0</v>
      </c>
      <c r="G6" s="41">
        <v>0</v>
      </c>
      <c r="H6" s="37">
        <f t="shared" si="0"/>
        <v>0</v>
      </c>
      <c r="I6" s="38">
        <f t="shared" si="1"/>
        <v>0</v>
      </c>
      <c r="J6" s="12">
        <f t="shared" si="2"/>
        <v>0</v>
      </c>
      <c r="K6" s="28">
        <f t="shared" si="3"/>
        <v>0</v>
      </c>
    </row>
    <row r="7" spans="1:11" ht="15.75">
      <c r="A7" s="5" t="s">
        <v>3</v>
      </c>
      <c r="B7" s="8">
        <v>50.2</v>
      </c>
      <c r="C7" s="37">
        <v>6</v>
      </c>
      <c r="D7" s="38">
        <v>6</v>
      </c>
      <c r="E7" s="12">
        <v>14.4</v>
      </c>
      <c r="F7" s="41">
        <v>19</v>
      </c>
      <c r="G7" s="13">
        <v>10.9</v>
      </c>
      <c r="H7" s="37">
        <f t="shared" si="0"/>
        <v>50.3</v>
      </c>
      <c r="I7" s="38">
        <f t="shared" si="1"/>
        <v>50.3</v>
      </c>
      <c r="J7" s="12">
        <f t="shared" si="2"/>
        <v>0.09999999999999432</v>
      </c>
      <c r="K7" s="28">
        <f t="shared" si="3"/>
        <v>0.09999999999999432</v>
      </c>
    </row>
    <row r="8" spans="1:11" ht="18.75">
      <c r="A8" s="5" t="s">
        <v>20</v>
      </c>
      <c r="B8" s="8">
        <v>4.1</v>
      </c>
      <c r="C8" s="37">
        <v>2</v>
      </c>
      <c r="D8" s="38">
        <v>2</v>
      </c>
      <c r="E8" s="37">
        <v>0</v>
      </c>
      <c r="F8" s="13">
        <v>2.1</v>
      </c>
      <c r="G8" s="41">
        <v>0</v>
      </c>
      <c r="H8" s="12">
        <f t="shared" si="0"/>
        <v>4.1</v>
      </c>
      <c r="I8" s="14">
        <f t="shared" si="1"/>
        <v>4.1</v>
      </c>
      <c r="J8" s="12">
        <f t="shared" si="2"/>
        <v>0</v>
      </c>
      <c r="K8" s="28">
        <f t="shared" si="3"/>
        <v>0</v>
      </c>
    </row>
    <row r="9" spans="1:11" ht="18.75">
      <c r="A9" s="5" t="s">
        <v>21</v>
      </c>
      <c r="B9" s="8">
        <v>0</v>
      </c>
      <c r="C9" s="12">
        <v>0</v>
      </c>
      <c r="D9" s="14">
        <v>0</v>
      </c>
      <c r="E9" s="12">
        <v>0</v>
      </c>
      <c r="F9" s="13">
        <v>0</v>
      </c>
      <c r="G9" s="13">
        <v>0</v>
      </c>
      <c r="H9" s="12">
        <f t="shared" si="0"/>
        <v>0</v>
      </c>
      <c r="I9" s="14">
        <f t="shared" si="1"/>
        <v>0</v>
      </c>
      <c r="J9" s="12">
        <f t="shared" si="2"/>
        <v>0</v>
      </c>
      <c r="K9" s="28">
        <f t="shared" si="3"/>
        <v>0</v>
      </c>
    </row>
    <row r="10" spans="1:11" ht="12.75">
      <c r="A10" s="32"/>
      <c r="B10" s="8"/>
      <c r="C10" s="12"/>
      <c r="D10" s="14"/>
      <c r="E10" s="12"/>
      <c r="F10" s="13"/>
      <c r="G10" s="13"/>
      <c r="H10" s="12"/>
      <c r="I10" s="14"/>
      <c r="J10" s="12"/>
      <c r="K10" s="28"/>
    </row>
    <row r="11" spans="1:11" ht="31.5">
      <c r="A11" s="5" t="s">
        <v>25</v>
      </c>
      <c r="B11" s="44">
        <f aca="true" t="shared" si="4" ref="B11:K11">B4+B6+B7+B8+B9</f>
        <v>408.40000000000003</v>
      </c>
      <c r="C11" s="37">
        <f t="shared" si="4"/>
        <v>16</v>
      </c>
      <c r="D11" s="38">
        <f t="shared" si="4"/>
        <v>16</v>
      </c>
      <c r="E11" s="12">
        <f t="shared" si="4"/>
        <v>88.9</v>
      </c>
      <c r="F11" s="13">
        <f t="shared" si="4"/>
        <v>191.3</v>
      </c>
      <c r="G11" s="13">
        <f t="shared" si="4"/>
        <v>110.5</v>
      </c>
      <c r="H11" s="12">
        <f t="shared" si="4"/>
        <v>406.70000000000005</v>
      </c>
      <c r="I11" s="14">
        <f t="shared" si="4"/>
        <v>406.70000000000005</v>
      </c>
      <c r="J11" s="12">
        <f t="shared" si="4"/>
        <v>-1.700000000000017</v>
      </c>
      <c r="K11" s="14">
        <f t="shared" si="4"/>
        <v>-1.700000000000017</v>
      </c>
    </row>
    <row r="12" spans="1:11" ht="15.75">
      <c r="A12" s="5"/>
      <c r="B12" s="8"/>
      <c r="C12" s="12"/>
      <c r="D12" s="14"/>
      <c r="E12" s="12"/>
      <c r="F12" s="13"/>
      <c r="G12" s="13"/>
      <c r="H12" s="12"/>
      <c r="I12" s="14"/>
      <c r="J12" s="12"/>
      <c r="K12" s="28"/>
    </row>
    <row r="13" spans="1:11" s="34" customFormat="1" ht="31.5">
      <c r="A13" s="5" t="s">
        <v>4</v>
      </c>
      <c r="B13" s="44">
        <f>3+104*B4/Total!B4</f>
        <v>21.09917924018283</v>
      </c>
      <c r="C13" s="12">
        <v>0</v>
      </c>
      <c r="D13" s="14">
        <v>0</v>
      </c>
      <c r="E13" s="12">
        <v>0</v>
      </c>
      <c r="F13" s="13">
        <v>0</v>
      </c>
      <c r="G13" s="13">
        <v>0</v>
      </c>
      <c r="H13" s="12">
        <f>C13+E13+F13+G13</f>
        <v>0</v>
      </c>
      <c r="I13" s="12">
        <f>D13+F13+G13+H13</f>
        <v>0</v>
      </c>
      <c r="J13" s="37">
        <f>H13-B13</f>
        <v>-21.09917924018283</v>
      </c>
      <c r="K13" s="50">
        <f>I13-B13</f>
        <v>-21.09917924018283</v>
      </c>
    </row>
    <row r="14" spans="1:11" s="34" customFormat="1" ht="15.75">
      <c r="A14" s="5"/>
      <c r="B14" s="8"/>
      <c r="C14" s="12"/>
      <c r="D14" s="14"/>
      <c r="E14" s="12"/>
      <c r="F14" s="13"/>
      <c r="G14" s="13"/>
      <c r="H14" s="12"/>
      <c r="I14" s="14"/>
      <c r="J14" s="37"/>
      <c r="K14" s="50"/>
    </row>
    <row r="15" spans="1:11" s="24" customFormat="1" ht="33.75" customHeight="1">
      <c r="A15" s="6" t="s">
        <v>24</v>
      </c>
      <c r="B15" s="46">
        <f aca="true" t="shared" si="5" ref="B15:G15">SUM(B11:B14)</f>
        <v>429.49917924018285</v>
      </c>
      <c r="C15" s="47">
        <f t="shared" si="5"/>
        <v>16</v>
      </c>
      <c r="D15" s="48">
        <f t="shared" si="5"/>
        <v>16</v>
      </c>
      <c r="E15" s="15">
        <f t="shared" si="5"/>
        <v>88.9</v>
      </c>
      <c r="F15" s="17">
        <f t="shared" si="5"/>
        <v>191.3</v>
      </c>
      <c r="G15" s="17">
        <f t="shared" si="5"/>
        <v>110.5</v>
      </c>
      <c r="H15" s="45">
        <f>H11+H13</f>
        <v>406.70000000000005</v>
      </c>
      <c r="I15" s="45">
        <f>I11+I13</f>
        <v>406.70000000000005</v>
      </c>
      <c r="J15" s="47">
        <f>SUM(J11:J14)</f>
        <v>-22.79917924018285</v>
      </c>
      <c r="K15" s="48">
        <f>SUM(K11:K14)</f>
        <v>-22.79917924018285</v>
      </c>
    </row>
    <row r="17" spans="1:2" ht="38.25">
      <c r="A17" s="30" t="s">
        <v>17</v>
      </c>
      <c r="B17" s="44">
        <f>0+30*B4/Total!B4</f>
        <v>5.220917088514278</v>
      </c>
    </row>
    <row r="18" spans="1:2" ht="12.75">
      <c r="A18" s="1" t="s">
        <v>16</v>
      </c>
      <c r="B18" s="49">
        <f>B15+B17</f>
        <v>434.72009632869714</v>
      </c>
    </row>
    <row r="20" ht="14.25">
      <c r="A20" s="31" t="s">
        <v>32</v>
      </c>
    </row>
  </sheetData>
  <mergeCells count="5">
    <mergeCell ref="H1:I1"/>
    <mergeCell ref="J1:K1"/>
    <mergeCell ref="A1:A3"/>
    <mergeCell ref="E1:G2"/>
    <mergeCell ref="C1:D1"/>
  </mergeCells>
  <printOptions/>
  <pageMargins left="0.75" right="0.75" top="1" bottom="0.41" header="0.36" footer="0.17"/>
  <pageSetup horizontalDpi="600" verticalDpi="600" orientation="landscape" paperSize="9" r:id="rId1"/>
  <headerFooter alignWithMargins="0">
    <oddHeader>&amp;C&amp;"Arial,Bold"&amp;14Finance summary with actual spend to the end of the financial year 2005/06 (all figures in £k)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PPARC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finance spreadsheet</dc:title>
  <dc:subject/>
  <dc:creator>Jamieson</dc:creator>
  <cp:keywords/>
  <dc:description/>
  <cp:lastModifiedBy>A.User</cp:lastModifiedBy>
  <cp:lastPrinted>2006-03-05T21:08:37Z</cp:lastPrinted>
  <dcterms:created xsi:type="dcterms:W3CDTF">2004-02-25T15:53:46Z</dcterms:created>
  <dcterms:modified xsi:type="dcterms:W3CDTF">2006-03-13T14:11:05Z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Comment">
    <vt:lpwstr/>
  </property>
  <property fmtid="{D5CDD505-2E9C-101B-9397-08002B2CF9AE}" pid="3" name="Objective-CreationStamp">
    <vt:filetime>2006-01-13T15:06:02Z</vt:filetime>
  </property>
  <property fmtid="{D5CDD505-2E9C-101B-9397-08002B2CF9AE}" pid="4" name="Objective-Id">
    <vt:lpwstr>C114833</vt:lpwstr>
  </property>
  <property fmtid="{D5CDD505-2E9C-101B-9397-08002B2CF9AE}" pid="5" name="Objective-IsApproved">
    <vt:lpwstr>No</vt:lpwstr>
  </property>
  <property fmtid="{D5CDD505-2E9C-101B-9397-08002B2CF9AE}" pid="6" name="Objective-IsPublished">
    <vt:lpwstr>Yes</vt:lpwstr>
  </property>
  <property fmtid="{D5CDD505-2E9C-101B-9397-08002B2CF9AE}" pid="7" name="Objective-DatePublished">
    <vt:filetime>2006-01-13T00:00:00Z</vt:filetime>
  </property>
  <property fmtid="{D5CDD505-2E9C-101B-9397-08002B2CF9AE}" pid="8" name="Objective-ModificationStamp">
    <vt:filetime>2006-01-13T15:07:23Z</vt:filetime>
  </property>
  <property fmtid="{D5CDD505-2E9C-101B-9397-08002B2CF9AE}" pid="9" name="Objective-Owner">
    <vt:lpwstr>Eyles, Emma</vt:lpwstr>
  </property>
  <property fmtid="{D5CDD505-2E9C-101B-9397-08002B2CF9AE}" pid="10" name="Objective-Path">
    <vt:lpwstr>Eyles, Emma:Special Folder - Eyles, Emma:Handy - Eyles, Emma:Templates - Eyles, Emma:</vt:lpwstr>
  </property>
  <property fmtid="{D5CDD505-2E9C-101B-9397-08002B2CF9AE}" pid="11" name="Objective-Parent">
    <vt:lpwstr>Templates - Eyles, Emma</vt:lpwstr>
  </property>
  <property fmtid="{D5CDD505-2E9C-101B-9397-08002B2CF9AE}" pid="12" name="Objective-State">
    <vt:lpwstr>Published</vt:lpwstr>
  </property>
  <property fmtid="{D5CDD505-2E9C-101B-9397-08002B2CF9AE}" pid="13" name="Objective-Title">
    <vt:lpwstr>Finance Spreadsheet</vt:lpwstr>
  </property>
  <property fmtid="{D5CDD505-2E9C-101B-9397-08002B2CF9AE}" pid="14" name="Objective-Version">
    <vt:lpwstr>1.0</vt:lpwstr>
  </property>
  <property fmtid="{D5CDD505-2E9C-101B-9397-08002B2CF9AE}" pid="15" name="Objective-VersionComment">
    <vt:lpwstr>Final Version</vt:lpwstr>
  </property>
  <property fmtid="{D5CDD505-2E9C-101B-9397-08002B2CF9AE}" pid="16" name="Objective-VersionNumber">
    <vt:i4>2</vt:i4>
  </property>
  <property fmtid="{D5CDD505-2E9C-101B-9397-08002B2CF9AE}" pid="17" name="Objective-FileNumber">
    <vt:lpwstr/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  <property fmtid="{D5CDD505-2E9C-101B-9397-08002B2CF9AE}" pid="20" name="Objective-Form Type [system]">
    <vt:lpwstr/>
  </property>
  <property fmtid="{D5CDD505-2E9C-101B-9397-08002B2CF9AE}" pid="21" name="Objective-Research Council Publisher [system]">
    <vt:lpwstr/>
  </property>
  <property fmtid="{D5CDD505-2E9C-101B-9397-08002B2CF9AE}" pid="22" name="Objective-Generated by [system]">
    <vt:lpwstr/>
  </property>
</Properties>
</file>