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0"/>
  </bookViews>
  <sheets>
    <sheet name="WP1" sheetId="1" r:id="rId1"/>
    <sheet name="WP2" sheetId="2" r:id="rId2"/>
    <sheet name="WP3" sheetId="3" r:id="rId3"/>
    <sheet name="WP4" sheetId="4" r:id="rId4"/>
    <sheet name="WP5" sheetId="5" r:id="rId5"/>
    <sheet name="B1" sheetId="6" r:id="rId6"/>
    <sheet name="B2" sheetId="7" r:id="rId7"/>
    <sheet name="B3" sheetId="8" r:id="rId8"/>
    <sheet name="B1A" sheetId="9" r:id="rId9"/>
    <sheet name="B2A" sheetId="10" r:id="rId10"/>
    <sheet name="B3A" sheetId="11" r:id="rId11"/>
    <sheet name="Staff" sheetId="12" r:id="rId12"/>
    <sheet name="Totals" sheetId="13" r:id="rId13"/>
  </sheets>
  <definedNames/>
  <calcPr fullCalcOnLoad="1"/>
</workbook>
</file>

<file path=xl/sharedStrings.xml><?xml version="1.0" encoding="utf-8"?>
<sst xmlns="http://schemas.openxmlformats.org/spreadsheetml/2006/main" count="1477" uniqueCount="206">
  <si>
    <t>Name</t>
  </si>
  <si>
    <t>FY05/06</t>
  </si>
  <si>
    <t>FY06/07</t>
  </si>
  <si>
    <t>FY07/08</t>
  </si>
  <si>
    <t>Total</t>
  </si>
  <si>
    <t>WP1</t>
  </si>
  <si>
    <t>WP2</t>
  </si>
  <si>
    <t>WP3</t>
  </si>
  <si>
    <t>WP4</t>
  </si>
  <si>
    <t>Cost (£k)</t>
  </si>
  <si>
    <t>WP5</t>
  </si>
  <si>
    <t>Institute</t>
  </si>
  <si>
    <t>RAL/ID</t>
  </si>
  <si>
    <t>RAL/PPD</t>
  </si>
  <si>
    <t>Imperial</t>
  </si>
  <si>
    <t>Beam test PCB layout</t>
  </si>
  <si>
    <t>Birmingham</t>
  </si>
  <si>
    <t>Equipment</t>
  </si>
  <si>
    <t>Travel</t>
  </si>
  <si>
    <t xml:space="preserve"> </t>
  </si>
  <si>
    <t>Totals</t>
  </si>
  <si>
    <t>Engineer</t>
  </si>
  <si>
    <t>Position</t>
  </si>
  <si>
    <t>Physicist</t>
  </si>
  <si>
    <t>Technician</t>
  </si>
  <si>
    <t>Second fabrication round</t>
  </si>
  <si>
    <t>First fabrication round</t>
  </si>
  <si>
    <t>Oscilloscope</t>
  </si>
  <si>
    <t>Equipment total cost</t>
  </si>
  <si>
    <t>Staff total cost</t>
  </si>
  <si>
    <t>Consumables</t>
  </si>
  <si>
    <t>Beam test PCB manufacture</t>
  </si>
  <si>
    <t>Consumables total cost</t>
  </si>
  <si>
    <t>UK travel</t>
  </si>
  <si>
    <t>Beam test</t>
  </si>
  <si>
    <t>Conferences</t>
  </si>
  <si>
    <t>Travel total cost</t>
  </si>
  <si>
    <t>Workpackage total cost</t>
  </si>
  <si>
    <t>WP3: MAPS</t>
  </si>
  <si>
    <t>WP2: DAQ</t>
  </si>
  <si>
    <t>Imperial new RA laptop</t>
  </si>
  <si>
    <t>WP4: Mechanics</t>
  </si>
  <si>
    <t>Manchester</t>
  </si>
  <si>
    <t>FlexPDE 3D software licence</t>
  </si>
  <si>
    <t>WP1: CALICE</t>
  </si>
  <si>
    <t>Cambridge</t>
  </si>
  <si>
    <t>VME electronics M&amp;O</t>
  </si>
  <si>
    <t>Beam tests</t>
  </si>
  <si>
    <t>UCL</t>
  </si>
  <si>
    <t>WP5: Simulation</t>
  </si>
  <si>
    <t>RHUL</t>
  </si>
  <si>
    <t>F. Salvatore</t>
  </si>
  <si>
    <t>VFE PCB manufacture</t>
  </si>
  <si>
    <t>M.Warren</t>
  </si>
  <si>
    <t>Technicians</t>
  </si>
  <si>
    <t>Academic</t>
  </si>
  <si>
    <t>HEFCE</t>
  </si>
  <si>
    <t>VFE PCB DAQ PC</t>
  </si>
  <si>
    <t>VFE PCB DAQ FPGA development board</t>
  </si>
  <si>
    <t>PPARC Fellow</t>
  </si>
  <si>
    <t>PPARC</t>
  </si>
  <si>
    <t>Collaboration with French groups</t>
  </si>
  <si>
    <t>Effort not funded by this proposal</t>
  </si>
  <si>
    <t>Collaboration meetings</t>
  </si>
  <si>
    <t>Birmingham new RA laptop</t>
  </si>
  <si>
    <t>RHUL new RA laptop</t>
  </si>
  <si>
    <t>4-port, 10Gbit ethernet switch</t>
  </si>
  <si>
    <t>Four optical data transceivers</t>
  </si>
  <si>
    <t>Six 1Gbit ethernet cards</t>
  </si>
  <si>
    <t>16-port optical switch</t>
  </si>
  <si>
    <t>Switch options</t>
  </si>
  <si>
    <t>Development board 10Gbit module</t>
  </si>
  <si>
    <t>Misc. cables and connectors</t>
  </si>
  <si>
    <t>Switch</t>
  </si>
  <si>
    <t>10Gbit ethernet PCI card</t>
  </si>
  <si>
    <t>Fanout PCB</t>
  </si>
  <si>
    <t>Prototype PCI cards</t>
  </si>
  <si>
    <t>Production PCI cards</t>
  </si>
  <si>
    <t>Six high performance PCs</t>
  </si>
  <si>
    <t>Thermal Measurements</t>
  </si>
  <si>
    <t>Carbon fibre and other materials</t>
  </si>
  <si>
    <t>Thermal Measurement</t>
  </si>
  <si>
    <t>Chiller, pumps, flowmeters</t>
  </si>
  <si>
    <t>Assembly</t>
  </si>
  <si>
    <t>500mm slide</t>
  </si>
  <si>
    <t>vacuum, pneumatics, construction components</t>
  </si>
  <si>
    <t>Upgraded IMAQ/Labview</t>
  </si>
  <si>
    <t>Conducting glue, syringes</t>
  </si>
  <si>
    <t>Staff Name</t>
  </si>
  <si>
    <t>Start Date</t>
  </si>
  <si>
    <t>End Date</t>
  </si>
  <si>
    <t>Increment Date</t>
  </si>
  <si>
    <t>Apr05</t>
  </si>
  <si>
    <t>Apr06</t>
  </si>
  <si>
    <t>Oct</t>
  </si>
  <si>
    <t>Indexed total</t>
  </si>
  <si>
    <t>Staff Effort</t>
  </si>
  <si>
    <t>Equipment and Travel</t>
  </si>
  <si>
    <t>F.Salvatore</t>
  </si>
  <si>
    <t>New RA-2</t>
  </si>
  <si>
    <t>New RA-4</t>
  </si>
  <si>
    <t>G.Mavromanolakis</t>
  </si>
  <si>
    <t>N.K.Watson</t>
  </si>
  <si>
    <t>D.R.Ward</t>
  </si>
  <si>
    <t>C.G.Ainsley</t>
  </si>
  <si>
    <t>P.D.Dauncey</t>
  </si>
  <si>
    <t>D.Bowerman</t>
  </si>
  <si>
    <t>M.Wing</t>
  </si>
  <si>
    <t>M.J.Goodrick</t>
  </si>
  <si>
    <t>R.Shaw</t>
  </si>
  <si>
    <t>C.Barham</t>
  </si>
  <si>
    <t>B.Fromant</t>
  </si>
  <si>
    <t>D.R.Price</t>
  </si>
  <si>
    <t>O.Zorba</t>
  </si>
  <si>
    <t>R.Hughes-Jones</t>
  </si>
  <si>
    <t>S.Kolya</t>
  </si>
  <si>
    <t>G.Boorman</t>
  </si>
  <si>
    <t>New RA-3</t>
  </si>
  <si>
    <t>M.Postranecky</t>
  </si>
  <si>
    <t>R.J.Barlow</t>
  </si>
  <si>
    <t>M.G.Green</t>
  </si>
  <si>
    <t>M.Lancaster</t>
  </si>
  <si>
    <t>R.J.Staley</t>
  </si>
  <si>
    <t>New RA-1</t>
  </si>
  <si>
    <t>I.Clark</t>
  </si>
  <si>
    <t>R.Turchetta</t>
  </si>
  <si>
    <t>M.Tyndel</t>
  </si>
  <si>
    <t>J.A.Wilson</t>
  </si>
  <si>
    <t>R.J.Thompson</t>
  </si>
  <si>
    <t>S.Snow</t>
  </si>
  <si>
    <t>J.Freestone</t>
  </si>
  <si>
    <t>A.Elvin</t>
  </si>
  <si>
    <t>M.Perry</t>
  </si>
  <si>
    <t>C.M.Hawkes</t>
  </si>
  <si>
    <t>M.A.Thomson</t>
  </si>
  <si>
    <t>Miscellaneous: cables, light-tight boxes, PCB stand, CDs, etc.</t>
  </si>
  <si>
    <t>GHz PCB FPGA development board</t>
  </si>
  <si>
    <t>Second development board/card</t>
  </si>
  <si>
    <t>VFE meetings in Paris</t>
  </si>
  <si>
    <t>DESY high B field test</t>
  </si>
  <si>
    <t>B.J.Green</t>
  </si>
  <si>
    <t>Electronics technicians</t>
  </si>
  <si>
    <t>E.G.Villani</t>
  </si>
  <si>
    <t>New RA-5</t>
  </si>
  <si>
    <t>Jan06</t>
  </si>
  <si>
    <t>HV supply and logic for cosmic trigger</t>
  </si>
  <si>
    <t>J.Crooks</t>
  </si>
  <si>
    <t>Comments</t>
  </si>
  <si>
    <t>NRE 1k + 100/PCB</t>
  </si>
  <si>
    <t>Virtex4 600+VAT</t>
  </si>
  <si>
    <t>Thurlby PL320QMD 350+VAT</t>
  </si>
  <si>
    <t>Tectronix 3034B 4760+VAT</t>
  </si>
  <si>
    <t>Hamamatsu C4840 1500+VAT</t>
  </si>
  <si>
    <t>Bench test DAQ 4 FPGA development boards</t>
  </si>
  <si>
    <t>Bench test DAQ 3 PCs</t>
  </si>
  <si>
    <t>Bench test DAQ 3 power supplies</t>
  </si>
  <si>
    <t>First round test 20 PCBs</t>
  </si>
  <si>
    <t>Second round test 30 PCBs</t>
  </si>
  <si>
    <t>Shipping costs to FNAL</t>
  </si>
  <si>
    <t>UCL RA-4 laptop</t>
  </si>
  <si>
    <t>Assembly: cameras and optics</t>
  </si>
  <si>
    <t>Thermal: Sensors, connection blocks, heat sources</t>
  </si>
  <si>
    <t>New Money Totals</t>
  </si>
  <si>
    <t>Overall Totals</t>
  </si>
  <si>
    <t>New money staff totals</t>
  </si>
  <si>
    <t>CAD software licence</t>
  </si>
  <si>
    <t>Active GHz probes</t>
  </si>
  <si>
    <t>Short, 0.5m, PCB manufacture</t>
  </si>
  <si>
    <t>Long, 1.5m, PCB prototype manufacture</t>
  </si>
  <si>
    <t>Long, 1.5m, PCB production manufacture</t>
  </si>
  <si>
    <t>GHz bit error rate tester</t>
  </si>
  <si>
    <t>PC with specialist networking</t>
  </si>
  <si>
    <t>1k per teststand per year</t>
  </si>
  <si>
    <t>37k 6SM of RAL/ID effort</t>
  </si>
  <si>
    <t>Crate for cosmic trigger logic</t>
  </si>
  <si>
    <t>Southern Scientific 1.5-2.6K</t>
  </si>
  <si>
    <t>FY08/09</t>
  </si>
  <si>
    <t>SM</t>
  </si>
  <si>
    <t>Indexed (£k)</t>
  </si>
  <si>
    <t>Indexation</t>
  </si>
  <si>
    <t>New Money Staff</t>
  </si>
  <si>
    <t>Rolling Grant Staff</t>
  </si>
  <si>
    <t>New Money</t>
  </si>
  <si>
    <t>Total Cost to PPARC</t>
  </si>
  <si>
    <t>Integrated</t>
  </si>
  <si>
    <t>Monthly Staff Costs Without Indexation</t>
  </si>
  <si>
    <t>Source</t>
  </si>
  <si>
    <t>New</t>
  </si>
  <si>
    <t>Rolling Grant total</t>
  </si>
  <si>
    <t>SLA total</t>
  </si>
  <si>
    <t>New total</t>
  </si>
  <si>
    <t>Rolling Grant staff totals</t>
  </si>
  <si>
    <t>Rolling Grant Effort</t>
  </si>
  <si>
    <t>New Effort</t>
  </si>
  <si>
    <t>New Money Integral</t>
  </si>
  <si>
    <t>Excluding WP1</t>
  </si>
  <si>
    <t>Group funds</t>
  </si>
  <si>
    <t>Oct05</t>
  </si>
  <si>
    <t>Sep08</t>
  </si>
  <si>
    <t>Dec05</t>
  </si>
  <si>
    <t>Dec08</t>
  </si>
  <si>
    <t>Apr07</t>
  </si>
  <si>
    <t>Mar06</t>
  </si>
  <si>
    <t>Nov08</t>
  </si>
  <si>
    <t>Mar09</t>
  </si>
  <si>
    <t>Overall Total Integral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</si>
</sst>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"/>
    <numFmt numFmtId="176" formatCode="0.00000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6.57421875" style="0" customWidth="1"/>
    <col min="3" max="3" width="11.28125" style="0" customWidth="1"/>
    <col min="4" max="18" width="7.7109375" style="0" customWidth="1"/>
  </cols>
  <sheetData>
    <row r="1" spans="1:19" ht="12.75">
      <c r="A1" t="s">
        <v>44</v>
      </c>
      <c r="D1" s="2"/>
      <c r="E1" s="2"/>
      <c r="F1" s="2" t="s">
        <v>1</v>
      </c>
      <c r="G1" s="2"/>
      <c r="I1" s="2" t="s">
        <v>2</v>
      </c>
      <c r="J1" s="2"/>
      <c r="L1" s="2" t="s">
        <v>3</v>
      </c>
      <c r="M1" s="2"/>
      <c r="O1" s="2" t="s">
        <v>176</v>
      </c>
      <c r="P1" s="2" t="s">
        <v>4</v>
      </c>
      <c r="Q1" s="2" t="s">
        <v>4</v>
      </c>
      <c r="R1" s="13" t="s">
        <v>95</v>
      </c>
      <c r="S1" s="2" t="s">
        <v>147</v>
      </c>
    </row>
    <row r="2" spans="1:5" ht="12.75">
      <c r="A2" s="6" t="s">
        <v>180</v>
      </c>
      <c r="E2" s="2"/>
    </row>
    <row r="3" spans="1:19" ht="12.75">
      <c r="A3" t="s">
        <v>0</v>
      </c>
      <c r="B3" t="s">
        <v>22</v>
      </c>
      <c r="C3" s="7" t="s">
        <v>11</v>
      </c>
      <c r="D3" s="10" t="s">
        <v>177</v>
      </c>
      <c r="E3" s="14" t="s">
        <v>9</v>
      </c>
      <c r="F3" s="14" t="s">
        <v>178</v>
      </c>
      <c r="G3" s="10" t="s">
        <v>177</v>
      </c>
      <c r="H3" s="14" t="s">
        <v>9</v>
      </c>
      <c r="I3" s="14" t="s">
        <v>178</v>
      </c>
      <c r="J3" s="10" t="s">
        <v>177</v>
      </c>
      <c r="K3" s="14" t="s">
        <v>9</v>
      </c>
      <c r="L3" s="14" t="s">
        <v>178</v>
      </c>
      <c r="M3" s="10" t="s">
        <v>177</v>
      </c>
      <c r="N3" s="14" t="s">
        <v>9</v>
      </c>
      <c r="O3" s="14" t="s">
        <v>178</v>
      </c>
      <c r="P3" s="10" t="s">
        <v>177</v>
      </c>
      <c r="Q3" s="14" t="s">
        <v>9</v>
      </c>
      <c r="R3" s="14" t="s">
        <v>178</v>
      </c>
      <c r="S3" s="7"/>
    </row>
    <row r="4" spans="1:18" ht="12.75">
      <c r="A4" t="s">
        <v>123</v>
      </c>
      <c r="B4" t="s">
        <v>23</v>
      </c>
      <c r="C4" s="7" t="s">
        <v>16</v>
      </c>
      <c r="D4" s="8">
        <v>2</v>
      </c>
      <c r="E4" s="15">
        <f>D4*Staff!$D$5</f>
        <v>6.380199999999999</v>
      </c>
      <c r="F4" s="8">
        <f>E4</f>
        <v>6.380199999999999</v>
      </c>
      <c r="G4" s="8">
        <v>1</v>
      </c>
      <c r="H4" s="15">
        <f>G4*Staff!$E$5</f>
        <v>3.32004</v>
      </c>
      <c r="I4" s="8">
        <f>Totals!$C$11*H4</f>
        <v>3.4113411000000005</v>
      </c>
      <c r="J4" s="8">
        <v>0</v>
      </c>
      <c r="K4" s="15">
        <f>J4*Staff!$F$5</f>
        <v>0</v>
      </c>
      <c r="L4" s="8">
        <f>Totals!$D$11*K4</f>
        <v>0</v>
      </c>
      <c r="M4" s="7">
        <v>0</v>
      </c>
      <c r="N4" s="15">
        <f>M4*Staff!$G$5</f>
        <v>0</v>
      </c>
      <c r="O4" s="8">
        <f>Totals!$E$11*N4</f>
        <v>0</v>
      </c>
      <c r="P4" s="8">
        <f aca="true" t="shared" si="0" ref="P4:R7">D4+G4+J4+M4</f>
        <v>3</v>
      </c>
      <c r="Q4" s="8">
        <f t="shared" si="0"/>
        <v>9.700239999999999</v>
      </c>
      <c r="R4" s="8">
        <f t="shared" si="0"/>
        <v>9.7915411</v>
      </c>
    </row>
    <row r="5" spans="1:18" ht="12.75">
      <c r="A5" t="s">
        <v>101</v>
      </c>
      <c r="B5" t="s">
        <v>23</v>
      </c>
      <c r="C5" s="7" t="s">
        <v>45</v>
      </c>
      <c r="D5" s="8">
        <v>12</v>
      </c>
      <c r="E5" s="15">
        <f>D5*Staff!$D$6</f>
        <v>42.43600000000001</v>
      </c>
      <c r="F5" s="8">
        <f>E5</f>
        <v>42.43600000000001</v>
      </c>
      <c r="G5" s="8">
        <v>6</v>
      </c>
      <c r="H5" s="15">
        <f>G5*Staff!$E$6</f>
        <v>22.2995</v>
      </c>
      <c r="I5" s="8">
        <f>Totals!$C$11*H5</f>
        <v>22.912736250000002</v>
      </c>
      <c r="J5" s="8">
        <v>0</v>
      </c>
      <c r="K5" s="15">
        <f>J5*Staff!$F$6</f>
        <v>0</v>
      </c>
      <c r="L5" s="8">
        <f>Totals!$D$11*K5</f>
        <v>0</v>
      </c>
      <c r="M5" s="8">
        <v>0</v>
      </c>
      <c r="N5" s="15">
        <f>M5*Staff!$G$6</f>
        <v>0</v>
      </c>
      <c r="O5" s="8">
        <f>Totals!$E$11*N5</f>
        <v>0</v>
      </c>
      <c r="P5" s="8">
        <f t="shared" si="0"/>
        <v>18</v>
      </c>
      <c r="Q5" s="8">
        <f t="shared" si="0"/>
        <v>64.7355</v>
      </c>
      <c r="R5" s="8">
        <f t="shared" si="0"/>
        <v>65.34873625</v>
      </c>
    </row>
    <row r="6" spans="1:18" s="7" customFormat="1" ht="12.75">
      <c r="A6" s="7" t="s">
        <v>99</v>
      </c>
      <c r="B6" s="7" t="s">
        <v>23</v>
      </c>
      <c r="C6" s="7" t="s">
        <v>14</v>
      </c>
      <c r="D6" s="8">
        <v>6</v>
      </c>
      <c r="E6" s="15">
        <f>D6*Staff!$D$7</f>
        <v>22.74534</v>
      </c>
      <c r="F6" s="8">
        <f>E6</f>
        <v>22.74534</v>
      </c>
      <c r="G6" s="8">
        <v>5</v>
      </c>
      <c r="H6" s="15">
        <f>G6*Staff!$E$7</f>
        <v>19.468491666666665</v>
      </c>
      <c r="I6" s="8">
        <f>Totals!$C$11*H6</f>
        <v>20.0038751875</v>
      </c>
      <c r="J6" s="8">
        <v>1</v>
      </c>
      <c r="K6" s="15">
        <f>J6*Staff!$F$7</f>
        <v>3.999548333333333</v>
      </c>
      <c r="L6" s="8">
        <f>Totals!$D$11*K6</f>
        <v>4.22352304</v>
      </c>
      <c r="M6" s="7">
        <v>0</v>
      </c>
      <c r="N6" s="15">
        <f>M6*Staff!$G$7</f>
        <v>0</v>
      </c>
      <c r="O6" s="8">
        <f>Totals!$E$11*N6</f>
        <v>0</v>
      </c>
      <c r="P6" s="8">
        <f t="shared" si="0"/>
        <v>12</v>
      </c>
      <c r="Q6" s="8">
        <f t="shared" si="0"/>
        <v>46.213379999999994</v>
      </c>
      <c r="R6" s="8">
        <f t="shared" si="0"/>
        <v>46.9727382275</v>
      </c>
    </row>
    <row r="7" spans="1:18" ht="12.75">
      <c r="A7" t="s">
        <v>100</v>
      </c>
      <c r="B7" t="s">
        <v>23</v>
      </c>
      <c r="C7" s="7" t="s">
        <v>48</v>
      </c>
      <c r="D7" s="8">
        <v>4</v>
      </c>
      <c r="E7" s="15">
        <f>D7*Staff!$D$14</f>
        <v>14.166666666666666</v>
      </c>
      <c r="F7" s="8">
        <f>E7</f>
        <v>14.166666666666666</v>
      </c>
      <c r="G7" s="8">
        <v>4</v>
      </c>
      <c r="H7" s="15">
        <f>G7*Staff!$E$14</f>
        <v>14.666666666666666</v>
      </c>
      <c r="I7" s="8">
        <f>Totals!$C$11*H7</f>
        <v>15.07</v>
      </c>
      <c r="J7" s="8">
        <v>0</v>
      </c>
      <c r="K7" s="15">
        <f>J7*Staff!$F$14</f>
        <v>0</v>
      </c>
      <c r="L7" s="8">
        <f>Totals!$D$11*K7</f>
        <v>0</v>
      </c>
      <c r="M7" s="7">
        <v>0</v>
      </c>
      <c r="N7" s="15">
        <f>M7*Staff!$G$14</f>
        <v>0</v>
      </c>
      <c r="O7" s="8">
        <f>Totals!$E$11*N7</f>
        <v>0</v>
      </c>
      <c r="P7" s="8">
        <f t="shared" si="0"/>
        <v>8</v>
      </c>
      <c r="Q7" s="8">
        <f t="shared" si="0"/>
        <v>28.833333333333332</v>
      </c>
      <c r="R7" s="8">
        <f t="shared" si="0"/>
        <v>29.236666666666665</v>
      </c>
    </row>
    <row r="8" spans="3:18" ht="12.75">
      <c r="C8" s="7" t="s">
        <v>29</v>
      </c>
      <c r="D8" s="8">
        <f aca="true" t="shared" si="1" ref="D8:R8">SUM(D4:D7)</f>
        <v>24</v>
      </c>
      <c r="E8" s="8">
        <f t="shared" si="1"/>
        <v>85.72820666666668</v>
      </c>
      <c r="F8" s="8">
        <f t="shared" si="1"/>
        <v>85.72820666666668</v>
      </c>
      <c r="G8" s="8">
        <f t="shared" si="1"/>
        <v>16</v>
      </c>
      <c r="H8" s="8">
        <f t="shared" si="1"/>
        <v>59.75469833333333</v>
      </c>
      <c r="I8" s="8">
        <f t="shared" si="1"/>
        <v>61.397952537500004</v>
      </c>
      <c r="J8" s="8">
        <f t="shared" si="1"/>
        <v>1</v>
      </c>
      <c r="K8" s="8">
        <f t="shared" si="1"/>
        <v>3.999548333333333</v>
      </c>
      <c r="L8" s="8">
        <f t="shared" si="1"/>
        <v>4.22352304</v>
      </c>
      <c r="M8" s="8">
        <f t="shared" si="1"/>
        <v>0</v>
      </c>
      <c r="N8" s="8">
        <f t="shared" si="1"/>
        <v>0</v>
      </c>
      <c r="O8" s="8">
        <f t="shared" si="1"/>
        <v>0</v>
      </c>
      <c r="P8" s="8">
        <f t="shared" si="1"/>
        <v>41</v>
      </c>
      <c r="Q8" s="8">
        <f t="shared" si="1"/>
        <v>149.48245333333332</v>
      </c>
      <c r="R8" s="8">
        <f t="shared" si="1"/>
        <v>151.34968224416667</v>
      </c>
    </row>
    <row r="9" spans="3:13" ht="12.75">
      <c r="C9" s="7"/>
      <c r="D9" s="9"/>
      <c r="E9" s="8"/>
      <c r="F9" s="9"/>
      <c r="G9" s="8"/>
      <c r="H9" s="9"/>
      <c r="I9" s="8"/>
      <c r="J9" s="9"/>
      <c r="K9" s="7"/>
      <c r="L9" s="7"/>
      <c r="M9" s="7"/>
    </row>
    <row r="10" spans="1:13" ht="12.75">
      <c r="A10" s="6" t="s">
        <v>17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8" ht="12.75">
      <c r="A11" s="7"/>
      <c r="C11" s="7" t="s">
        <v>28</v>
      </c>
      <c r="D11" s="7"/>
      <c r="E11" s="8">
        <v>0</v>
      </c>
      <c r="F11" s="8">
        <v>0</v>
      </c>
      <c r="G11" s="8"/>
      <c r="H11" s="7">
        <v>0</v>
      </c>
      <c r="I11" s="8">
        <v>0</v>
      </c>
      <c r="J11" s="7"/>
      <c r="K11" s="8">
        <v>0</v>
      </c>
      <c r="L11" s="8">
        <v>0</v>
      </c>
      <c r="M11" s="7"/>
      <c r="N11">
        <v>0</v>
      </c>
      <c r="O11" s="8">
        <v>0</v>
      </c>
      <c r="Q11" s="8">
        <f>E11+H11+K11+N11</f>
        <v>0</v>
      </c>
      <c r="R11" s="8">
        <f>F11+I11+L11+O11</f>
        <v>0</v>
      </c>
    </row>
    <row r="12" spans="1:13" ht="12.75">
      <c r="A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</row>
    <row r="13" spans="1:13" ht="12.75">
      <c r="A13" s="6" t="s">
        <v>30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</row>
    <row r="14" spans="1:18" ht="12.75">
      <c r="A14" s="7" t="s">
        <v>158</v>
      </c>
      <c r="C14" s="7"/>
      <c r="D14" s="7"/>
      <c r="E14" s="7">
        <v>1</v>
      </c>
      <c r="F14" s="8">
        <f>E14</f>
        <v>1</v>
      </c>
      <c r="G14" s="7"/>
      <c r="H14" s="7">
        <v>0</v>
      </c>
      <c r="I14" s="8">
        <f>Totals!$C$11*H14</f>
        <v>0</v>
      </c>
      <c r="J14" s="7"/>
      <c r="K14" s="8">
        <v>0</v>
      </c>
      <c r="L14" s="8">
        <f>Totals!$D$11*K14</f>
        <v>0</v>
      </c>
      <c r="M14" s="7"/>
      <c r="N14">
        <v>0</v>
      </c>
      <c r="O14" s="8">
        <f>Totals!$E$11*N14</f>
        <v>0</v>
      </c>
      <c r="Q14" s="8">
        <f aca="true" t="shared" si="2" ref="Q14:R16">E14+H14+K14+N14</f>
        <v>1</v>
      </c>
      <c r="R14" s="8">
        <f t="shared" si="2"/>
        <v>1</v>
      </c>
    </row>
    <row r="15" spans="1:18" ht="12.75">
      <c r="A15" s="7" t="s">
        <v>46</v>
      </c>
      <c r="C15" s="7"/>
      <c r="D15" s="7"/>
      <c r="E15" s="7">
        <v>5</v>
      </c>
      <c r="F15" s="8">
        <f>E15</f>
        <v>5</v>
      </c>
      <c r="G15" s="7"/>
      <c r="H15" s="7">
        <v>5</v>
      </c>
      <c r="I15" s="8">
        <f>Totals!$C$11*H15</f>
        <v>5.1375</v>
      </c>
      <c r="J15" s="7"/>
      <c r="K15" s="8">
        <v>0</v>
      </c>
      <c r="L15" s="8">
        <f>Totals!$D$11*K15</f>
        <v>0</v>
      </c>
      <c r="M15" s="7"/>
      <c r="N15">
        <v>0</v>
      </c>
      <c r="O15" s="8">
        <f>Totals!$E$11*N15</f>
        <v>0</v>
      </c>
      <c r="Q15" s="8">
        <f t="shared" si="2"/>
        <v>10</v>
      </c>
      <c r="R15" s="8">
        <f t="shared" si="2"/>
        <v>10.1375</v>
      </c>
    </row>
    <row r="16" spans="1:18" ht="12.75">
      <c r="A16" s="7"/>
      <c r="C16" s="7" t="s">
        <v>32</v>
      </c>
      <c r="D16" s="7"/>
      <c r="E16" s="8">
        <f>SUM(E14:E15)</f>
        <v>6</v>
      </c>
      <c r="F16" s="8">
        <f>SUM(F14:F15)</f>
        <v>6</v>
      </c>
      <c r="G16" s="8"/>
      <c r="H16" s="8">
        <f>SUM(H14:H15)</f>
        <v>5</v>
      </c>
      <c r="I16" s="8">
        <f>SUM(I14:I15)</f>
        <v>5.1375</v>
      </c>
      <c r="J16" s="7"/>
      <c r="K16" s="8">
        <f>SUM(K14:K15)</f>
        <v>0</v>
      </c>
      <c r="L16" s="8">
        <f>SUM(L14:L15)</f>
        <v>0</v>
      </c>
      <c r="M16" s="7"/>
      <c r="N16" s="8">
        <f>SUM(N14:N15)</f>
        <v>0</v>
      </c>
      <c r="O16" s="8">
        <f>SUM(O14:O15)</f>
        <v>0</v>
      </c>
      <c r="Q16" s="8">
        <f t="shared" si="2"/>
        <v>11</v>
      </c>
      <c r="R16" s="8">
        <f t="shared" si="2"/>
        <v>11.1375</v>
      </c>
    </row>
    <row r="17" spans="3:13" ht="12.7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6" t="s">
        <v>18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8" ht="12.75">
      <c r="A19" s="7" t="s">
        <v>33</v>
      </c>
      <c r="C19" s="7"/>
      <c r="D19" s="7"/>
      <c r="E19" s="7">
        <v>3</v>
      </c>
      <c r="F19" s="8">
        <f>E19</f>
        <v>3</v>
      </c>
      <c r="G19" s="7"/>
      <c r="H19" s="7">
        <v>3</v>
      </c>
      <c r="I19" s="8">
        <f>Totals!$C$11*H19</f>
        <v>3.0825000000000005</v>
      </c>
      <c r="J19" s="7"/>
      <c r="K19" s="8">
        <v>3</v>
      </c>
      <c r="L19" s="8">
        <f>Totals!$D$11*K19</f>
        <v>3.168</v>
      </c>
      <c r="M19" s="7"/>
      <c r="N19">
        <v>0</v>
      </c>
      <c r="O19" s="8">
        <f>Totals!$E$11*N19</f>
        <v>0</v>
      </c>
      <c r="Q19" s="8">
        <f aca="true" t="shared" si="3" ref="Q19:R22">E19+H19+K19+N19</f>
        <v>9</v>
      </c>
      <c r="R19" s="8">
        <f t="shared" si="3"/>
        <v>9.2505</v>
      </c>
    </row>
    <row r="20" spans="1:18" ht="12.75">
      <c r="A20" s="7" t="s">
        <v>63</v>
      </c>
      <c r="C20" s="7"/>
      <c r="D20" s="7"/>
      <c r="E20" s="7">
        <v>8</v>
      </c>
      <c r="F20" s="8">
        <f>E20</f>
        <v>8</v>
      </c>
      <c r="G20" s="7"/>
      <c r="H20" s="7">
        <v>8</v>
      </c>
      <c r="I20" s="8">
        <f>Totals!$C$11*H20</f>
        <v>8.22</v>
      </c>
      <c r="J20" s="7"/>
      <c r="K20" s="8">
        <v>12</v>
      </c>
      <c r="L20" s="8">
        <f>Totals!$D$11*K20</f>
        <v>12.672</v>
      </c>
      <c r="M20" s="7"/>
      <c r="N20">
        <v>0</v>
      </c>
      <c r="O20" s="8">
        <f>Totals!$E$11*N20</f>
        <v>0</v>
      </c>
      <c r="Q20" s="8">
        <f t="shared" si="3"/>
        <v>28</v>
      </c>
      <c r="R20" s="8">
        <f t="shared" si="3"/>
        <v>28.892</v>
      </c>
    </row>
    <row r="21" spans="1:18" ht="12.75">
      <c r="A21" s="7" t="s">
        <v>35</v>
      </c>
      <c r="C21" s="7"/>
      <c r="D21" s="7"/>
      <c r="E21" s="7">
        <v>3</v>
      </c>
      <c r="F21" s="8">
        <f>E21</f>
        <v>3</v>
      </c>
      <c r="G21" s="7" t="s">
        <v>19</v>
      </c>
      <c r="H21" s="7">
        <v>3</v>
      </c>
      <c r="I21" s="8">
        <f>Totals!$C$11*H21</f>
        <v>3.0825000000000005</v>
      </c>
      <c r="J21" s="7"/>
      <c r="K21" s="8">
        <v>6</v>
      </c>
      <c r="L21" s="8">
        <f>Totals!$D$11*K21</f>
        <v>6.336</v>
      </c>
      <c r="M21" s="7"/>
      <c r="N21">
        <v>0</v>
      </c>
      <c r="O21" s="8">
        <f>Totals!$E$11*N21</f>
        <v>0</v>
      </c>
      <c r="Q21" s="8">
        <f t="shared" si="3"/>
        <v>12</v>
      </c>
      <c r="R21" s="8">
        <f t="shared" si="3"/>
        <v>12.418500000000002</v>
      </c>
    </row>
    <row r="22" spans="1:18" ht="12.75">
      <c r="A22" s="7" t="s">
        <v>47</v>
      </c>
      <c r="C22" s="7"/>
      <c r="D22" s="7"/>
      <c r="E22" s="7">
        <v>20</v>
      </c>
      <c r="F22" s="8">
        <f>E22</f>
        <v>20</v>
      </c>
      <c r="G22" s="7"/>
      <c r="H22" s="7">
        <v>40</v>
      </c>
      <c r="I22" s="8">
        <f>Totals!$C$11*H22</f>
        <v>41.1</v>
      </c>
      <c r="J22" s="7"/>
      <c r="K22" s="8">
        <v>0</v>
      </c>
      <c r="L22" s="8">
        <f>Totals!$D$11*K22</f>
        <v>0</v>
      </c>
      <c r="M22" s="7"/>
      <c r="N22">
        <v>0</v>
      </c>
      <c r="O22" s="8">
        <f>Totals!$E$11*N22</f>
        <v>0</v>
      </c>
      <c r="Q22" s="8">
        <f t="shared" si="3"/>
        <v>60</v>
      </c>
      <c r="R22" s="8">
        <f t="shared" si="3"/>
        <v>61.1</v>
      </c>
    </row>
    <row r="23" spans="1:18" ht="12.75">
      <c r="A23" s="7"/>
      <c r="C23" s="7" t="s">
        <v>36</v>
      </c>
      <c r="D23" s="7"/>
      <c r="E23" s="7">
        <f>SUM(E19:E22)</f>
        <v>34</v>
      </c>
      <c r="F23" s="7">
        <f>SUM(F19:F22)</f>
        <v>34</v>
      </c>
      <c r="G23" s="7"/>
      <c r="H23" s="7">
        <f>SUM(H19:H22)</f>
        <v>54</v>
      </c>
      <c r="I23" s="8">
        <f>SUM(I19:I22)</f>
        <v>55.485</v>
      </c>
      <c r="J23" s="7"/>
      <c r="K23" s="7">
        <f>SUM(K19:K22)</f>
        <v>21</v>
      </c>
      <c r="L23" s="8">
        <f>SUM(L19:L22)</f>
        <v>22.176000000000002</v>
      </c>
      <c r="M23" s="7"/>
      <c r="N23" s="7">
        <f>SUM(N19:N22)</f>
        <v>0</v>
      </c>
      <c r="O23" s="7">
        <f>SUM(O19:O22)</f>
        <v>0</v>
      </c>
      <c r="Q23" s="7">
        <f>SUM(Q19:Q22)</f>
        <v>109</v>
      </c>
      <c r="R23" s="8">
        <f>SUM(R19:R22)</f>
        <v>111.661</v>
      </c>
    </row>
    <row r="24" spans="1:13" ht="12.75">
      <c r="A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9" ht="12.75">
      <c r="A25" s="6" t="s">
        <v>182</v>
      </c>
      <c r="C25" s="7" t="s">
        <v>37</v>
      </c>
      <c r="D25" s="9"/>
      <c r="E25" s="15">
        <f>E8+E11+E16+E23</f>
        <v>125.72820666666668</v>
      </c>
      <c r="F25" s="15">
        <f>F8+F11+F16+F23</f>
        <v>125.72820666666668</v>
      </c>
      <c r="G25" s="9"/>
      <c r="H25" s="15">
        <f>H8+H11+H16+H23</f>
        <v>118.75469833333332</v>
      </c>
      <c r="I25" s="15">
        <f>I8+I11+I16+I23</f>
        <v>122.0204525375</v>
      </c>
      <c r="J25" s="9"/>
      <c r="K25" s="15">
        <f>K8+K11+K16+K23</f>
        <v>24.999548333333333</v>
      </c>
      <c r="L25" s="15">
        <f>L8+L11+L16+L23</f>
        <v>26.399523040000002</v>
      </c>
      <c r="M25" s="9"/>
      <c r="N25" s="15">
        <f>N8+N11+N16+N23</f>
        <v>0</v>
      </c>
      <c r="O25" s="15">
        <f>O8+O11+O16+O23</f>
        <v>0</v>
      </c>
      <c r="P25" s="9"/>
      <c r="Q25" s="8">
        <f>E25+H25+K25+N25</f>
        <v>269.48245333333335</v>
      </c>
      <c r="R25" s="8">
        <f>F25+I25+L25+O25</f>
        <v>274.1481822441667</v>
      </c>
      <c r="S25" s="7"/>
    </row>
    <row r="26" spans="1:19" ht="12.75">
      <c r="A26" s="6"/>
      <c r="C26" s="7" t="s">
        <v>184</v>
      </c>
      <c r="D26" s="9"/>
      <c r="E26" s="15"/>
      <c r="F26" s="8">
        <f>F25</f>
        <v>125.72820666666668</v>
      </c>
      <c r="G26" s="9"/>
      <c r="H26" s="15"/>
      <c r="I26" s="8">
        <f>F26+I25</f>
        <v>247.7486592041667</v>
      </c>
      <c r="J26" s="9"/>
      <c r="K26" s="15"/>
      <c r="L26" s="8">
        <f>I26+L25</f>
        <v>274.1481822441667</v>
      </c>
      <c r="M26" s="9"/>
      <c r="N26" s="15"/>
      <c r="O26" s="8">
        <f>L26+O25</f>
        <v>274.1481822441667</v>
      </c>
      <c r="P26" s="9"/>
      <c r="Q26" s="8"/>
      <c r="R26" s="8"/>
      <c r="S26" s="7"/>
    </row>
    <row r="27" spans="1:19" ht="12.75">
      <c r="A27" s="7"/>
      <c r="C27" s="7"/>
      <c r="D27" s="7"/>
      <c r="E27" s="10"/>
      <c r="F27" s="8"/>
      <c r="G27" s="7"/>
      <c r="H27" s="7"/>
      <c r="I27" s="8"/>
      <c r="J27" s="7"/>
      <c r="K27" s="7"/>
      <c r="L27" s="8"/>
      <c r="M27" s="7"/>
      <c r="N27" s="7"/>
      <c r="O27" s="8"/>
      <c r="P27" s="7"/>
      <c r="Q27" s="8"/>
      <c r="R27" s="8"/>
      <c r="S27" s="7"/>
    </row>
    <row r="28" spans="1:5" ht="12.75">
      <c r="A28" s="6" t="s">
        <v>181</v>
      </c>
      <c r="E28" s="2"/>
    </row>
    <row r="29" spans="1:19" ht="12.75">
      <c r="A29" t="s">
        <v>0</v>
      </c>
      <c r="B29" t="s">
        <v>22</v>
      </c>
      <c r="C29" s="7" t="s">
        <v>11</v>
      </c>
      <c r="D29" s="10" t="s">
        <v>177</v>
      </c>
      <c r="E29" s="14" t="s">
        <v>9</v>
      </c>
      <c r="F29" s="14" t="s">
        <v>178</v>
      </c>
      <c r="G29" s="10" t="s">
        <v>177</v>
      </c>
      <c r="H29" s="14" t="s">
        <v>9</v>
      </c>
      <c r="I29" s="14" t="s">
        <v>178</v>
      </c>
      <c r="J29" s="10" t="s">
        <v>177</v>
      </c>
      <c r="K29" s="14" t="s">
        <v>9</v>
      </c>
      <c r="L29" s="14" t="s">
        <v>178</v>
      </c>
      <c r="M29" s="10" t="s">
        <v>177</v>
      </c>
      <c r="N29" s="14" t="s">
        <v>9</v>
      </c>
      <c r="O29" s="14" t="s">
        <v>178</v>
      </c>
      <c r="P29" s="10" t="s">
        <v>177</v>
      </c>
      <c r="Q29" s="14" t="s">
        <v>9</v>
      </c>
      <c r="R29" s="14" t="s">
        <v>178</v>
      </c>
      <c r="S29" s="7"/>
    </row>
    <row r="30" spans="1:18" ht="12.75">
      <c r="A30" t="s">
        <v>113</v>
      </c>
      <c r="B30" t="s">
        <v>21</v>
      </c>
      <c r="C30" s="7" t="s">
        <v>14</v>
      </c>
      <c r="D30" s="8">
        <v>1</v>
      </c>
      <c r="E30" s="15">
        <f>D30*Staff!$D$25</f>
        <v>4.969961666666666</v>
      </c>
      <c r="F30" s="8">
        <f>E30</f>
        <v>4.969961666666666</v>
      </c>
      <c r="G30" s="8">
        <v>0</v>
      </c>
      <c r="H30" s="15">
        <f>G30*Staff!$E$25</f>
        <v>0</v>
      </c>
      <c r="I30" s="8">
        <f>Totals!$C$11*H30</f>
        <v>0</v>
      </c>
      <c r="J30" s="8">
        <v>0</v>
      </c>
      <c r="K30" s="15">
        <f>J30*Staff!$F$25</f>
        <v>0</v>
      </c>
      <c r="L30" s="8">
        <f>Totals!$D$11*K30</f>
        <v>0</v>
      </c>
      <c r="M30" s="7">
        <v>0</v>
      </c>
      <c r="N30" s="15">
        <f>M30*Staff!$G$25</f>
        <v>0</v>
      </c>
      <c r="O30" s="8">
        <f>Totals!$E$11*N30</f>
        <v>0</v>
      </c>
      <c r="P30" s="8">
        <f aca="true" t="shared" si="4" ref="P30:R32">D30+G30+J30+M30</f>
        <v>1</v>
      </c>
      <c r="Q30" s="8">
        <f t="shared" si="4"/>
        <v>4.969961666666666</v>
      </c>
      <c r="R30" s="8">
        <f t="shared" si="4"/>
        <v>4.969961666666666</v>
      </c>
    </row>
    <row r="31" spans="1:18" ht="12.75">
      <c r="A31" t="s">
        <v>98</v>
      </c>
      <c r="B31" t="s">
        <v>23</v>
      </c>
      <c r="C31" s="7" t="s">
        <v>50</v>
      </c>
      <c r="D31" s="8">
        <v>1</v>
      </c>
      <c r="E31" s="15">
        <f>D31*Staff!$D$35</f>
        <v>4.8004999999999995</v>
      </c>
      <c r="F31" s="8">
        <f>E31</f>
        <v>4.8004999999999995</v>
      </c>
      <c r="G31" s="8">
        <v>1</v>
      </c>
      <c r="H31" s="15">
        <f>G31*Staff!$E$35</f>
        <v>5.004347826086957</v>
      </c>
      <c r="I31" s="8">
        <f>Totals!$C$11*H31</f>
        <v>5.141967391304349</v>
      </c>
      <c r="J31" s="8">
        <v>0</v>
      </c>
      <c r="K31" s="15">
        <f>J31*Staff!$F$35</f>
        <v>0</v>
      </c>
      <c r="L31" s="8">
        <f>Totals!$D$11*K31</f>
        <v>0</v>
      </c>
      <c r="M31" s="7">
        <v>0</v>
      </c>
      <c r="N31" s="15">
        <f>M31*Staff!$G$35</f>
        <v>0</v>
      </c>
      <c r="O31" s="8">
        <f>Totals!$E$11*N31</f>
        <v>0</v>
      </c>
      <c r="P31" s="8">
        <f t="shared" si="4"/>
        <v>2</v>
      </c>
      <c r="Q31" s="8">
        <f t="shared" si="4"/>
        <v>9.804847826086956</v>
      </c>
      <c r="R31" s="8">
        <f t="shared" si="4"/>
        <v>9.942467391304348</v>
      </c>
    </row>
    <row r="32" spans="1:18" ht="12.75">
      <c r="A32" t="s">
        <v>53</v>
      </c>
      <c r="B32" t="s">
        <v>21</v>
      </c>
      <c r="C32" s="7" t="s">
        <v>48</v>
      </c>
      <c r="D32" s="8">
        <v>1</v>
      </c>
      <c r="E32" s="15">
        <f>D32*Staff!$D$37</f>
        <v>4.606333333333334</v>
      </c>
      <c r="F32" s="8">
        <f>E32</f>
        <v>4.606333333333334</v>
      </c>
      <c r="G32" s="8">
        <v>1</v>
      </c>
      <c r="H32" s="15">
        <f>G32*Staff!$E$37</f>
        <v>4.662916666666667</v>
      </c>
      <c r="I32" s="8">
        <f>Totals!$C$11*H32</f>
        <v>4.791146875000001</v>
      </c>
      <c r="J32" s="8">
        <v>0</v>
      </c>
      <c r="K32" s="15">
        <f>J32*Staff!$F$37</f>
        <v>0</v>
      </c>
      <c r="L32" s="8">
        <f>Totals!$D$11*K32</f>
        <v>0</v>
      </c>
      <c r="M32" s="7">
        <v>0</v>
      </c>
      <c r="N32" s="15">
        <f>M32*Staff!$G$37</f>
        <v>0</v>
      </c>
      <c r="O32" s="8">
        <f>Totals!$E$11*N32</f>
        <v>0</v>
      </c>
      <c r="P32" s="8">
        <f t="shared" si="4"/>
        <v>2</v>
      </c>
      <c r="Q32" s="8">
        <f t="shared" si="4"/>
        <v>9.26925</v>
      </c>
      <c r="R32" s="8">
        <f t="shared" si="4"/>
        <v>9.397480208333334</v>
      </c>
    </row>
    <row r="33" spans="3:19" ht="12.75">
      <c r="C33" s="7" t="s">
        <v>29</v>
      </c>
      <c r="D33" s="8">
        <f>SUM(D30:D32)</f>
        <v>3</v>
      </c>
      <c r="E33" s="8">
        <f aca="true" t="shared" si="5" ref="E33:R33">SUM(E30:E32)</f>
        <v>14.376795</v>
      </c>
      <c r="F33" s="8">
        <f t="shared" si="5"/>
        <v>14.376795</v>
      </c>
      <c r="G33" s="8">
        <f t="shared" si="5"/>
        <v>2</v>
      </c>
      <c r="H33" s="8">
        <f t="shared" si="5"/>
        <v>9.667264492753624</v>
      </c>
      <c r="I33" s="8">
        <f t="shared" si="5"/>
        <v>9.93311426630435</v>
      </c>
      <c r="J33" s="8">
        <f t="shared" si="5"/>
        <v>0</v>
      </c>
      <c r="K33" s="8">
        <f t="shared" si="5"/>
        <v>0</v>
      </c>
      <c r="L33" s="8">
        <f t="shared" si="5"/>
        <v>0</v>
      </c>
      <c r="M33" s="8">
        <f t="shared" si="5"/>
        <v>0</v>
      </c>
      <c r="N33" s="8">
        <f t="shared" si="5"/>
        <v>0</v>
      </c>
      <c r="O33" s="8">
        <f t="shared" si="5"/>
        <v>0</v>
      </c>
      <c r="P33" s="8">
        <f t="shared" si="5"/>
        <v>5</v>
      </c>
      <c r="Q33" s="8">
        <f t="shared" si="5"/>
        <v>24.04405949275362</v>
      </c>
      <c r="R33" s="8">
        <f t="shared" si="5"/>
        <v>24.30990926630435</v>
      </c>
      <c r="S33" s="7"/>
    </row>
    <row r="34" spans="3:19" ht="12.75">
      <c r="C34" s="7"/>
      <c r="D34" s="9"/>
      <c r="E34" s="15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7"/>
      <c r="R34" s="7"/>
      <c r="S34" s="7"/>
    </row>
    <row r="35" spans="1:19" ht="12.75">
      <c r="A35" s="6" t="s">
        <v>183</v>
      </c>
      <c r="C35" s="7" t="s">
        <v>37</v>
      </c>
      <c r="D35" s="9"/>
      <c r="E35" s="15">
        <f>E25+E33</f>
        <v>140.10500166666668</v>
      </c>
      <c r="F35" s="15">
        <f>F25+F33</f>
        <v>140.10500166666668</v>
      </c>
      <c r="G35" s="9"/>
      <c r="H35" s="15">
        <f>H25+H33</f>
        <v>128.42196282608694</v>
      </c>
      <c r="I35" s="15">
        <f>I25+I33</f>
        <v>131.95356680380436</v>
      </c>
      <c r="J35" s="9"/>
      <c r="K35" s="15">
        <f>K25+K33</f>
        <v>24.999548333333333</v>
      </c>
      <c r="L35" s="15">
        <f>L25+L33</f>
        <v>26.399523040000002</v>
      </c>
      <c r="M35" s="9"/>
      <c r="N35" s="15">
        <f>N25+N33</f>
        <v>0</v>
      </c>
      <c r="O35" s="15">
        <f>O25+O33</f>
        <v>0</v>
      </c>
      <c r="P35" s="9"/>
      <c r="Q35" s="15">
        <f>Q25+Q33</f>
        <v>293.52651282608696</v>
      </c>
      <c r="R35" s="18">
        <f>R25+R33</f>
        <v>298.4580915104711</v>
      </c>
      <c r="S35" s="7"/>
    </row>
    <row r="36" spans="3:13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1" s="3" customFormat="1" ht="12.75">
      <c r="A37" s="6" t="s">
        <v>62</v>
      </c>
      <c r="D37" s="4"/>
      <c r="E37" s="5"/>
      <c r="G37" s="5"/>
      <c r="I37" s="5"/>
      <c r="K37" s="5"/>
    </row>
    <row r="38" spans="1:19" ht="12.75">
      <c r="A38" t="s">
        <v>102</v>
      </c>
      <c r="B38" t="s">
        <v>55</v>
      </c>
      <c r="C38" t="s">
        <v>16</v>
      </c>
      <c r="D38" s="1">
        <v>2</v>
      </c>
      <c r="E38" s="1"/>
      <c r="G38" s="1">
        <v>1</v>
      </c>
      <c r="I38" s="1"/>
      <c r="J38" s="1">
        <v>0</v>
      </c>
      <c r="K38" s="1"/>
      <c r="M38">
        <v>0</v>
      </c>
      <c r="P38" s="8">
        <f aca="true" t="shared" si="6" ref="P38:P43">D38+G38+J38+M38</f>
        <v>3</v>
      </c>
      <c r="S38" t="s">
        <v>56</v>
      </c>
    </row>
    <row r="39" spans="1:19" ht="12.75">
      <c r="A39" t="s">
        <v>103</v>
      </c>
      <c r="B39" t="s">
        <v>55</v>
      </c>
      <c r="C39" t="s">
        <v>45</v>
      </c>
      <c r="D39" s="1">
        <v>5</v>
      </c>
      <c r="E39" s="1"/>
      <c r="G39" s="1">
        <v>3</v>
      </c>
      <c r="I39" s="1"/>
      <c r="J39" s="1">
        <v>1</v>
      </c>
      <c r="K39" s="1"/>
      <c r="M39">
        <v>0</v>
      </c>
      <c r="P39" s="8">
        <f t="shared" si="6"/>
        <v>9</v>
      </c>
      <c r="S39" t="s">
        <v>56</v>
      </c>
    </row>
    <row r="40" spans="1:19" ht="12.75">
      <c r="A40" t="s">
        <v>104</v>
      </c>
      <c r="B40" t="s">
        <v>59</v>
      </c>
      <c r="C40" t="s">
        <v>45</v>
      </c>
      <c r="D40" s="1">
        <v>6</v>
      </c>
      <c r="E40" s="1"/>
      <c r="G40" s="1">
        <v>0</v>
      </c>
      <c r="I40" s="1"/>
      <c r="J40" s="1">
        <v>0</v>
      </c>
      <c r="M40">
        <v>0</v>
      </c>
      <c r="P40" s="8">
        <f t="shared" si="6"/>
        <v>6</v>
      </c>
      <c r="S40" t="s">
        <v>60</v>
      </c>
    </row>
    <row r="41" spans="1:19" ht="12.75">
      <c r="A41" t="s">
        <v>105</v>
      </c>
      <c r="B41" t="s">
        <v>55</v>
      </c>
      <c r="C41" t="s">
        <v>14</v>
      </c>
      <c r="D41" s="1">
        <v>2</v>
      </c>
      <c r="E41" s="1"/>
      <c r="G41" s="1">
        <v>1</v>
      </c>
      <c r="I41" s="1"/>
      <c r="J41" s="1">
        <v>0</v>
      </c>
      <c r="K41" s="1"/>
      <c r="M41">
        <v>0</v>
      </c>
      <c r="P41" s="8">
        <f t="shared" si="6"/>
        <v>3</v>
      </c>
      <c r="S41" t="s">
        <v>56</v>
      </c>
    </row>
    <row r="42" spans="1:19" ht="12.75">
      <c r="A42" t="s">
        <v>106</v>
      </c>
      <c r="B42" t="s">
        <v>59</v>
      </c>
      <c r="C42" t="s">
        <v>14</v>
      </c>
      <c r="D42" s="1">
        <v>3</v>
      </c>
      <c r="E42" s="1"/>
      <c r="G42" s="1">
        <v>0</v>
      </c>
      <c r="I42" s="1"/>
      <c r="J42" s="1">
        <v>0</v>
      </c>
      <c r="M42">
        <v>0</v>
      </c>
      <c r="P42" s="8">
        <f t="shared" si="6"/>
        <v>3</v>
      </c>
      <c r="S42" t="s">
        <v>60</v>
      </c>
    </row>
    <row r="43" spans="1:19" ht="12.75">
      <c r="A43" t="s">
        <v>107</v>
      </c>
      <c r="B43" t="s">
        <v>55</v>
      </c>
      <c r="C43" t="s">
        <v>48</v>
      </c>
      <c r="D43" s="1">
        <v>1</v>
      </c>
      <c r="E43" s="1"/>
      <c r="G43" s="1">
        <v>0</v>
      </c>
      <c r="I43" s="1"/>
      <c r="J43" s="1">
        <v>0</v>
      </c>
      <c r="M43">
        <v>0</v>
      </c>
      <c r="P43" s="8">
        <f t="shared" si="6"/>
        <v>1</v>
      </c>
      <c r="S43" t="s">
        <v>56</v>
      </c>
    </row>
    <row r="44" spans="4:16" ht="12.75">
      <c r="D44" s="1">
        <f>SUM(D38:D43)</f>
        <v>19</v>
      </c>
      <c r="G44" s="1">
        <f>SUM(G38:G43)</f>
        <v>5</v>
      </c>
      <c r="J44" s="1">
        <f>SUM(J38:J43)</f>
        <v>1</v>
      </c>
      <c r="M44" s="1">
        <f>SUM(M38:M43)</f>
        <v>0</v>
      </c>
      <c r="P44" s="1">
        <f>SUM(P38:P43)</f>
        <v>25</v>
      </c>
    </row>
  </sheetData>
  <printOptions/>
  <pageMargins left="0.75" right="0.75" top="1" bottom="1" header="0.5" footer="0.5"/>
  <pageSetup fitToHeight="1" fitToWidth="1" horizontalDpi="300" verticalDpi="3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6">
      <selection activeCell="A3" sqref="A3"/>
    </sheetView>
  </sheetViews>
  <sheetFormatPr defaultColWidth="9.140625" defaultRowHeight="12.75"/>
  <cols>
    <col min="1" max="1" width="14.140625" style="0" customWidth="1"/>
    <col min="2" max="2" width="7.57421875" style="0" customWidth="1"/>
    <col min="3" max="17" width="7.7109375" style="0" customWidth="1"/>
  </cols>
  <sheetData>
    <row r="1" spans="3:18" ht="12.75">
      <c r="C1" s="2"/>
      <c r="D1" s="2"/>
      <c r="E1" s="2" t="s">
        <v>1</v>
      </c>
      <c r="F1" s="2"/>
      <c r="H1" s="2" t="s">
        <v>2</v>
      </c>
      <c r="I1" s="2"/>
      <c r="K1" s="2" t="s">
        <v>3</v>
      </c>
      <c r="L1" s="2"/>
      <c r="N1" s="2" t="s">
        <v>176</v>
      </c>
      <c r="O1" s="2" t="s">
        <v>4</v>
      </c>
      <c r="P1" s="2" t="s">
        <v>4</v>
      </c>
      <c r="Q1" s="13" t="s">
        <v>95</v>
      </c>
      <c r="R1" s="2" t="s">
        <v>147</v>
      </c>
    </row>
    <row r="2" spans="1:2" ht="12.75">
      <c r="A2" s="6" t="s">
        <v>96</v>
      </c>
      <c r="B2" s="6"/>
    </row>
    <row r="3" spans="1:17" ht="12.75">
      <c r="A3" t="s">
        <v>16</v>
      </c>
      <c r="B3" t="s">
        <v>187</v>
      </c>
      <c r="C3" s="8">
        <f>'B1A'!F4</f>
        <v>4</v>
      </c>
      <c r="D3" s="8">
        <f>'B1A'!G4</f>
        <v>12.760399999999999</v>
      </c>
      <c r="E3" s="8">
        <f>'B1A'!H4</f>
        <v>12.760399999999999</v>
      </c>
      <c r="F3" s="8">
        <f>'B1A'!I4</f>
        <v>11</v>
      </c>
      <c r="G3" s="8">
        <f>'B1A'!J4</f>
        <v>36.52044</v>
      </c>
      <c r="H3" s="8">
        <f>'B1A'!K4</f>
        <v>37.5247521</v>
      </c>
      <c r="I3" s="8">
        <f>'B1A'!L4</f>
        <v>12</v>
      </c>
      <c r="J3" s="8">
        <f>'B1A'!M4</f>
        <v>41.88594</v>
      </c>
      <c r="K3" s="8">
        <f>'B1A'!N4</f>
        <v>44.23155264</v>
      </c>
      <c r="L3" s="8">
        <f>'B1A'!O4</f>
        <v>6</v>
      </c>
      <c r="M3" s="8">
        <f>'B1A'!P4</f>
        <v>21.72261</v>
      </c>
      <c r="N3" s="8">
        <f>'B1A'!Q4</f>
        <v>23.56903185</v>
      </c>
      <c r="O3" s="8">
        <f>'B1A'!R4</f>
        <v>33</v>
      </c>
      <c r="P3" s="8">
        <f>'B1A'!S4</f>
        <v>112.88938999999999</v>
      </c>
      <c r="Q3" s="8">
        <f>'B1A'!T4</f>
        <v>118.08573659</v>
      </c>
    </row>
    <row r="4" spans="3:17" ht="12.75">
      <c r="C4" s="8">
        <f>'B1A'!F7</f>
        <v>0</v>
      </c>
      <c r="D4" s="8">
        <f>'B1A'!G7</f>
        <v>0</v>
      </c>
      <c r="E4" s="8">
        <f>'B1A'!H7</f>
        <v>0</v>
      </c>
      <c r="F4" s="8">
        <f>'B1A'!I7</f>
        <v>0</v>
      </c>
      <c r="G4" s="8">
        <f>'B1A'!J7</f>
        <v>0</v>
      </c>
      <c r="H4" s="8">
        <f>'B1A'!K7</f>
        <v>0</v>
      </c>
      <c r="I4" s="8">
        <f>'B1A'!L7</f>
        <v>3</v>
      </c>
      <c r="J4" s="8">
        <f>'B1A'!M7</f>
        <v>14.570678333333333</v>
      </c>
      <c r="K4" s="8">
        <f>'B1A'!N7</f>
        <v>15.386636320000001</v>
      </c>
      <c r="L4" s="8">
        <f>'B1A'!O7</f>
        <v>4</v>
      </c>
      <c r="M4" s="8">
        <f>'B1A'!P7</f>
        <v>17.62074</v>
      </c>
      <c r="N4" s="8">
        <f>'B1A'!Q7</f>
        <v>19.1185029</v>
      </c>
      <c r="O4" s="8">
        <f>'B1A'!R7</f>
        <v>7</v>
      </c>
      <c r="P4" s="8">
        <f>'B1A'!S7</f>
        <v>32.19141833333333</v>
      </c>
      <c r="Q4" s="8">
        <f>'B1A'!T7</f>
        <v>34.505139220000004</v>
      </c>
    </row>
    <row r="5" spans="1:17" ht="12.75">
      <c r="A5" t="s">
        <v>45</v>
      </c>
      <c r="B5" t="s">
        <v>187</v>
      </c>
      <c r="C5" s="8">
        <f>'B1A'!F12</f>
        <v>0</v>
      </c>
      <c r="D5" s="8">
        <f>'B1A'!G12</f>
        <v>0</v>
      </c>
      <c r="E5" s="8">
        <f>'B1A'!H12</f>
        <v>0</v>
      </c>
      <c r="F5" s="8">
        <f>'B1A'!I12</f>
        <v>6</v>
      </c>
      <c r="G5" s="8">
        <f>'B1A'!J12</f>
        <v>22.2995</v>
      </c>
      <c r="H5" s="8">
        <f>'B1A'!K12</f>
        <v>22.912736250000002</v>
      </c>
      <c r="I5" s="8">
        <f>'B1A'!L12</f>
        <v>12</v>
      </c>
      <c r="J5" s="8">
        <f>'B1A'!M12</f>
        <v>46.35</v>
      </c>
      <c r="K5" s="8">
        <f>'B1A'!N12</f>
        <v>48.945600000000006</v>
      </c>
      <c r="L5" s="8">
        <f>'B1A'!O12</f>
        <v>0</v>
      </c>
      <c r="M5" s="8">
        <f>'B1A'!P12</f>
        <v>0</v>
      </c>
      <c r="N5" s="8">
        <f>'B1A'!Q12</f>
        <v>0</v>
      </c>
      <c r="O5" s="8">
        <f>'B1A'!R12</f>
        <v>18</v>
      </c>
      <c r="P5" s="8">
        <f>'B1A'!S12</f>
        <v>68.6495</v>
      </c>
      <c r="Q5" s="8">
        <f>'B1A'!T12</f>
        <v>71.85833625000001</v>
      </c>
    </row>
    <row r="6" spans="3:17" ht="12.75">
      <c r="C6" s="8">
        <f>'B1A'!F16</f>
        <v>4</v>
      </c>
      <c r="D6" s="8">
        <f>'B1A'!G16</f>
        <v>18.231</v>
      </c>
      <c r="E6" s="8">
        <f>'B1A'!H16</f>
        <v>18.231</v>
      </c>
      <c r="F6" s="8">
        <f>'B1A'!I16</f>
        <v>7</v>
      </c>
      <c r="G6" s="8">
        <f>'B1A'!J16</f>
        <v>28.427999999999997</v>
      </c>
      <c r="H6" s="8">
        <f>'B1A'!K16</f>
        <v>29.209770000000006</v>
      </c>
      <c r="I6" s="8">
        <f>'B1A'!L16</f>
        <v>9</v>
      </c>
      <c r="J6" s="8">
        <f>'B1A'!M16</f>
        <v>38.11</v>
      </c>
      <c r="K6" s="8">
        <f>'B1A'!N16</f>
        <v>40.24416</v>
      </c>
      <c r="L6" s="8">
        <f>'B1A'!O16</f>
        <v>4</v>
      </c>
      <c r="M6" s="8">
        <f>'B1A'!P16</f>
        <v>23.621333333333336</v>
      </c>
      <c r="N6" s="8">
        <f>'B1A'!Q16</f>
        <v>25.629146666666667</v>
      </c>
      <c r="O6" s="8">
        <f>'B1A'!R16</f>
        <v>24</v>
      </c>
      <c r="P6" s="8">
        <f>'B1A'!S16</f>
        <v>108.39033333333333</v>
      </c>
      <c r="Q6" s="8">
        <f>'B1A'!T16</f>
        <v>113.31407666666667</v>
      </c>
    </row>
    <row r="7" spans="1:17" ht="12.75">
      <c r="A7" t="s">
        <v>14</v>
      </c>
      <c r="B7" t="s">
        <v>187</v>
      </c>
      <c r="C7" s="8">
        <f>'B1A'!F21</f>
        <v>0</v>
      </c>
      <c r="D7" s="8">
        <f>'B1A'!G21</f>
        <v>0</v>
      </c>
      <c r="E7" s="8">
        <f>'B1A'!H21</f>
        <v>0</v>
      </c>
      <c r="F7" s="8">
        <f>'B1A'!I21</f>
        <v>7</v>
      </c>
      <c r="G7" s="8">
        <f>'B1A'!J21</f>
        <v>27.25588833333333</v>
      </c>
      <c r="H7" s="8">
        <f>'B1A'!K21</f>
        <v>28.0054252625</v>
      </c>
      <c r="I7" s="8">
        <f>'B1A'!L21</f>
        <v>11</v>
      </c>
      <c r="J7" s="8">
        <f>'B1A'!M21</f>
        <v>43.99503166666666</v>
      </c>
      <c r="K7" s="8">
        <f>'B1A'!N21</f>
        <v>46.458753439999995</v>
      </c>
      <c r="L7" s="8">
        <f>'B1A'!O21</f>
        <v>6</v>
      </c>
      <c r="M7" s="8">
        <f>'B1A'!P21</f>
        <v>24.614140000000003</v>
      </c>
      <c r="N7" s="8">
        <f>'B1A'!Q21</f>
        <v>26.7063419</v>
      </c>
      <c r="O7" s="8">
        <f>'B1A'!R21</f>
        <v>24</v>
      </c>
      <c r="P7" s="8">
        <f>'B1A'!S21</f>
        <v>95.86506</v>
      </c>
      <c r="Q7" s="8">
        <f>'B1A'!T21</f>
        <v>101.17052060249999</v>
      </c>
    </row>
    <row r="8" spans="3:17" ht="12.75">
      <c r="C8" s="8">
        <f>'B1A'!F25</f>
        <v>0</v>
      </c>
      <c r="D8" s="8">
        <f>'B1A'!G25</f>
        <v>0</v>
      </c>
      <c r="E8" s="8">
        <f>'B1A'!H25</f>
        <v>0</v>
      </c>
      <c r="F8" s="8">
        <f>'B1A'!I25</f>
        <v>2</v>
      </c>
      <c r="G8" s="8">
        <f>'B1A'!J25</f>
        <v>12.237354999999999</v>
      </c>
      <c r="H8" s="8">
        <f>'B1A'!K25</f>
        <v>12.5738822625</v>
      </c>
      <c r="I8" s="8">
        <f>'B1A'!L25</f>
        <v>9</v>
      </c>
      <c r="J8" s="8">
        <f>'B1A'!M25</f>
        <v>55.166951666666655</v>
      </c>
      <c r="K8" s="8">
        <f>'B1A'!N25</f>
        <v>58.25630096</v>
      </c>
      <c r="L8" s="8">
        <f>'B1A'!O25</f>
        <v>9</v>
      </c>
      <c r="M8" s="8">
        <f>'B1A'!P25</f>
        <v>54.068179999999984</v>
      </c>
      <c r="N8" s="8">
        <f>'B1A'!Q25</f>
        <v>58.66397529999998</v>
      </c>
      <c r="O8" s="8">
        <f>'B1A'!R25</f>
        <v>20</v>
      </c>
      <c r="P8" s="8">
        <f>'B1A'!S25</f>
        <v>121.47248666666664</v>
      </c>
      <c r="Q8" s="8">
        <f>'B1A'!T25</f>
        <v>129.49415852249996</v>
      </c>
    </row>
    <row r="9" spans="1:17" ht="12.75">
      <c r="A9" t="s">
        <v>42</v>
      </c>
      <c r="B9" t="s">
        <v>187</v>
      </c>
      <c r="C9" s="8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3:17" ht="12.75">
      <c r="C10" s="8">
        <f>'B1A'!F37</f>
        <v>7</v>
      </c>
      <c r="D10" s="8">
        <f>'B1A'!G37</f>
        <v>32.90183333333333</v>
      </c>
      <c r="E10" s="8">
        <f>'B1A'!H37</f>
        <v>32.90183333333333</v>
      </c>
      <c r="F10" s="8">
        <f>'B1A'!I37</f>
        <v>8</v>
      </c>
      <c r="G10" s="8">
        <f>'B1A'!J37</f>
        <v>40.36083333333334</v>
      </c>
      <c r="H10" s="8">
        <f>'B1A'!K37</f>
        <v>41.47075625000001</v>
      </c>
      <c r="I10" s="8">
        <f>'B1A'!L37</f>
        <v>13</v>
      </c>
      <c r="J10" s="8">
        <f>'B1A'!M37</f>
        <v>68.38541666666666</v>
      </c>
      <c r="K10" s="8">
        <f>'B1A'!N37</f>
        <v>72.215</v>
      </c>
      <c r="L10" s="8">
        <f>'B1A'!O37</f>
        <v>12</v>
      </c>
      <c r="M10" s="8">
        <f>'B1A'!P37</f>
        <v>64.43691666666668</v>
      </c>
      <c r="N10" s="8">
        <f>'B1A'!Q37</f>
        <v>69.91405458333334</v>
      </c>
      <c r="O10" s="8">
        <f>'B1A'!R37</f>
        <v>40</v>
      </c>
      <c r="P10" s="8">
        <f>'B1A'!S37</f>
        <v>206.085</v>
      </c>
      <c r="Q10" s="8">
        <f>'B1A'!T37</f>
        <v>216.50164416666667</v>
      </c>
    </row>
    <row r="11" spans="1:17" ht="12.75">
      <c r="A11" t="s">
        <v>12</v>
      </c>
      <c r="B11" t="s">
        <v>187</v>
      </c>
      <c r="C11" s="8">
        <f>'B1A'!F43</f>
        <v>4</v>
      </c>
      <c r="D11" s="8">
        <f>'B1A'!G43</f>
        <v>27.961750000000002</v>
      </c>
      <c r="E11" s="8">
        <f>'B1A'!H43</f>
        <v>27.961750000000002</v>
      </c>
      <c r="F11" s="8">
        <f>'B1A'!I43</f>
        <v>13</v>
      </c>
      <c r="G11" s="8">
        <f>'B1A'!J43</f>
        <v>82.179</v>
      </c>
      <c r="H11" s="8">
        <f>'B1A'!K43</f>
        <v>84.4389225</v>
      </c>
      <c r="I11" s="8">
        <f>'B1A'!L43</f>
        <v>13</v>
      </c>
      <c r="J11" s="8">
        <f>'B1A'!M43</f>
        <v>85.16600000000001</v>
      </c>
      <c r="K11" s="8">
        <f>'B1A'!N43</f>
        <v>89.93529600000001</v>
      </c>
      <c r="L11" s="8">
        <f>'B1A'!O43</f>
        <v>10</v>
      </c>
      <c r="M11" s="8">
        <f>'B1A'!P43</f>
        <v>69.07000000000001</v>
      </c>
      <c r="N11" s="8">
        <f>'B1A'!Q43</f>
        <v>74.94095</v>
      </c>
      <c r="O11" s="8">
        <f>'B1A'!R43</f>
        <v>40</v>
      </c>
      <c r="P11" s="8">
        <f>'B1A'!S43</f>
        <v>264.37675</v>
      </c>
      <c r="Q11" s="8">
        <f>'B1A'!T43</f>
        <v>277.2769185</v>
      </c>
    </row>
    <row r="12" spans="3:17" ht="12.75"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ht="12.75">
      <c r="A13" t="s">
        <v>13</v>
      </c>
      <c r="B13" t="s">
        <v>187</v>
      </c>
      <c r="C13" s="8">
        <f>'B1A'!F50</f>
        <v>0</v>
      </c>
      <c r="D13" s="8">
        <f>'B1A'!G50</f>
        <v>0</v>
      </c>
      <c r="E13" s="8">
        <f>'B1A'!H50</f>
        <v>0</v>
      </c>
      <c r="F13" s="8">
        <f>'B1A'!I50</f>
        <v>6</v>
      </c>
      <c r="G13" s="8">
        <f>'B1A'!J50</f>
        <v>39</v>
      </c>
      <c r="H13" s="8">
        <f>'B1A'!K50</f>
        <v>40.072500000000005</v>
      </c>
      <c r="I13" s="8">
        <f>'B1A'!L50</f>
        <v>18</v>
      </c>
      <c r="J13" s="8">
        <f>'B1A'!M50</f>
        <v>98</v>
      </c>
      <c r="K13" s="8">
        <f>'B1A'!N50</f>
        <v>103.488</v>
      </c>
      <c r="L13" s="8">
        <f>'B1A'!O50</f>
        <v>18</v>
      </c>
      <c r="M13" s="8">
        <f>'B1A'!P50</f>
        <v>98</v>
      </c>
      <c r="N13" s="8">
        <f>'B1A'!Q50</f>
        <v>106.33</v>
      </c>
      <c r="O13" s="8">
        <f>'B1A'!R50</f>
        <v>42</v>
      </c>
      <c r="P13" s="8">
        <f>'B1A'!S50</f>
        <v>235</v>
      </c>
      <c r="Q13" s="8">
        <f>'B1A'!T50</f>
        <v>249.89049999999997</v>
      </c>
    </row>
    <row r="14" spans="3:17" ht="12.75">
      <c r="C14" s="8">
        <f>'B1A'!F53</f>
        <v>6</v>
      </c>
      <c r="D14" s="8">
        <f>'B1A'!G53</f>
        <v>39</v>
      </c>
      <c r="E14" s="8">
        <f>'B1A'!H53</f>
        <v>39</v>
      </c>
      <c r="F14" s="8">
        <f>'B1A'!I53</f>
        <v>0</v>
      </c>
      <c r="G14" s="8">
        <f>'B1A'!J53</f>
        <v>0</v>
      </c>
      <c r="H14" s="8">
        <f>'B1A'!K53</f>
        <v>0</v>
      </c>
      <c r="I14" s="8">
        <f>'B1A'!L53</f>
        <v>0</v>
      </c>
      <c r="J14" s="8">
        <f>'B1A'!M53</f>
        <v>0</v>
      </c>
      <c r="K14" s="8">
        <f>'B1A'!N53</f>
        <v>0</v>
      </c>
      <c r="L14" s="8">
        <f>'B1A'!O53</f>
        <v>0</v>
      </c>
      <c r="M14" s="8">
        <f>'B1A'!P53</f>
        <v>0</v>
      </c>
      <c r="N14" s="8">
        <f>'B1A'!Q53</f>
        <v>0</v>
      </c>
      <c r="O14" s="8">
        <f>'B1A'!R53</f>
        <v>6</v>
      </c>
      <c r="P14" s="8">
        <f>'B1A'!S53</f>
        <v>39</v>
      </c>
      <c r="Q14" s="8">
        <f>'B1A'!T53</f>
        <v>39</v>
      </c>
    </row>
    <row r="15" spans="1:17" ht="12.75">
      <c r="A15" t="s">
        <v>50</v>
      </c>
      <c r="B15" t="s">
        <v>187</v>
      </c>
      <c r="C15" s="8">
        <f>'B1A'!F58</f>
        <v>0</v>
      </c>
      <c r="D15" s="8">
        <f>'B1A'!G58</f>
        <v>0</v>
      </c>
      <c r="E15" s="8">
        <f>'B1A'!H58</f>
        <v>0</v>
      </c>
      <c r="F15" s="8">
        <f>'B1A'!I58</f>
        <v>0</v>
      </c>
      <c r="G15" s="8">
        <f>'B1A'!J58</f>
        <v>0</v>
      </c>
      <c r="H15" s="8">
        <f>'B1A'!K58</f>
        <v>0</v>
      </c>
      <c r="I15" s="8">
        <f>'B1A'!L58</f>
        <v>12</v>
      </c>
      <c r="J15" s="8">
        <f>'B1A'!M58</f>
        <v>44.29252336448598</v>
      </c>
      <c r="K15" s="8">
        <f>'B1A'!N58</f>
        <v>46.7729046728972</v>
      </c>
      <c r="L15" s="8">
        <f>'B1A'!O58</f>
        <v>12</v>
      </c>
      <c r="M15" s="8">
        <f>'B1A'!P58</f>
        <v>45.44108537631495</v>
      </c>
      <c r="N15" s="8">
        <f>'B1A'!Q58</f>
        <v>49.30357763330172</v>
      </c>
      <c r="O15" s="8">
        <f>'B1A'!R58</f>
        <v>24</v>
      </c>
      <c r="P15" s="8">
        <f>'B1A'!S58</f>
        <v>89.73360874080093</v>
      </c>
      <c r="Q15" s="8">
        <f>'B1A'!T58</f>
        <v>96.07648230619893</v>
      </c>
    </row>
    <row r="16" spans="3:17" ht="12.75">
      <c r="C16" s="8">
        <f>'B1A'!F62</f>
        <v>2</v>
      </c>
      <c r="D16" s="8">
        <f>'B1A'!G62</f>
        <v>10.679</v>
      </c>
      <c r="E16" s="8">
        <f>'B1A'!H62</f>
        <v>10.679</v>
      </c>
      <c r="F16" s="8">
        <f>'B1A'!I62</f>
        <v>4</v>
      </c>
      <c r="G16" s="8">
        <f>'B1A'!J62</f>
        <v>21.26618357487923</v>
      </c>
      <c r="H16" s="8">
        <f>'B1A'!K62</f>
        <v>21.85100362318841</v>
      </c>
      <c r="I16" s="8">
        <f>'B1A'!L62</f>
        <v>10</v>
      </c>
      <c r="J16" s="8">
        <f>'B1A'!M62</f>
        <v>50.94018691588784</v>
      </c>
      <c r="K16" s="8">
        <f>'B1A'!N62</f>
        <v>53.79283738317756</v>
      </c>
      <c r="L16" s="8">
        <f>'B1A'!O62</f>
        <v>8</v>
      </c>
      <c r="M16" s="8">
        <f>'B1A'!P62</f>
        <v>41.779412456544314</v>
      </c>
      <c r="N16" s="8">
        <f>'B1A'!Q62</f>
        <v>45.33066251535058</v>
      </c>
      <c r="O16" s="8">
        <f>'B1A'!R62</f>
        <v>24</v>
      </c>
      <c r="P16" s="8">
        <f>'B1A'!S62</f>
        <v>124.66478294731138</v>
      </c>
      <c r="Q16" s="8">
        <f>'B1A'!T62</f>
        <v>131.65350352171654</v>
      </c>
    </row>
    <row r="17" spans="1:17" ht="12.75">
      <c r="A17" t="s">
        <v>48</v>
      </c>
      <c r="B17" t="s">
        <v>187</v>
      </c>
      <c r="C17" s="8">
        <f>'B1A'!F67</f>
        <v>0</v>
      </c>
      <c r="D17" s="8">
        <f>'B1A'!G67</f>
        <v>0</v>
      </c>
      <c r="E17" s="8">
        <f>'B1A'!H67</f>
        <v>0</v>
      </c>
      <c r="F17" s="8">
        <f>'B1A'!I67</f>
        <v>8</v>
      </c>
      <c r="G17" s="8">
        <f>'B1A'!J67</f>
        <v>29.333333333333332</v>
      </c>
      <c r="H17" s="8">
        <f>'B1A'!K67</f>
        <v>30.14</v>
      </c>
      <c r="I17" s="8">
        <f>'B1A'!L67</f>
        <v>12</v>
      </c>
      <c r="J17" s="8">
        <f>'B1A'!M67</f>
        <v>46</v>
      </c>
      <c r="K17" s="8">
        <f>'B1A'!N67</f>
        <v>48.576</v>
      </c>
      <c r="L17" s="8">
        <f>'B1A'!O67</f>
        <v>8</v>
      </c>
      <c r="M17" s="8">
        <f>'B1A'!P67</f>
        <v>31.666666666666668</v>
      </c>
      <c r="N17" s="8">
        <f>'B1A'!Q67</f>
        <v>34.358333333333334</v>
      </c>
      <c r="O17" s="8">
        <f>'B1A'!R67</f>
        <v>28</v>
      </c>
      <c r="P17" s="8">
        <f>'B1A'!S67</f>
        <v>107</v>
      </c>
      <c r="Q17" s="8">
        <f>'B1A'!T67</f>
        <v>113.07433333333334</v>
      </c>
    </row>
    <row r="18" spans="3:17" ht="12.75">
      <c r="C18" s="8">
        <f>'B1A'!F70</f>
        <v>4</v>
      </c>
      <c r="D18" s="8">
        <f>'B1A'!G70</f>
        <v>19.48016666666667</v>
      </c>
      <c r="E18" s="8">
        <f>'B1A'!H70</f>
        <v>19.48016666666667</v>
      </c>
      <c r="F18" s="8">
        <f>'B1A'!I70</f>
        <v>9</v>
      </c>
      <c r="G18" s="8">
        <f>'B1A'!J70</f>
        <v>43.849583333333335</v>
      </c>
      <c r="H18" s="8">
        <f>'B1A'!K70</f>
        <v>45.055446875</v>
      </c>
      <c r="I18" s="8">
        <f>'B1A'!L70</f>
        <v>12</v>
      </c>
      <c r="J18" s="8">
        <f>'B1A'!M70</f>
        <v>64.066</v>
      </c>
      <c r="K18" s="8">
        <f>'B1A'!N70</f>
        <v>67.653696</v>
      </c>
      <c r="L18" s="8">
        <f>'B1A'!O70</f>
        <v>6</v>
      </c>
      <c r="M18" s="8">
        <f>'B1A'!P70</f>
        <v>32.20275</v>
      </c>
      <c r="N18" s="8">
        <f>'B1A'!Q70</f>
        <v>34.939983749999996</v>
      </c>
      <c r="O18" s="8">
        <f>'B1A'!R70</f>
        <v>31</v>
      </c>
      <c r="P18" s="8">
        <f>'B1A'!S70</f>
        <v>159.5985</v>
      </c>
      <c r="Q18" s="8">
        <f>'B1A'!T70</f>
        <v>167.12929329166667</v>
      </c>
    </row>
    <row r="19" spans="3:7" ht="12.75">
      <c r="C19" s="1"/>
      <c r="D19" s="1"/>
      <c r="E19" s="1"/>
      <c r="F19" s="1"/>
      <c r="G19" s="1"/>
    </row>
    <row r="20" spans="1:2" ht="12.75">
      <c r="A20" s="6" t="s">
        <v>17</v>
      </c>
      <c r="B20" s="6"/>
    </row>
    <row r="21" spans="1:17" ht="12.75">
      <c r="A21" t="s">
        <v>6</v>
      </c>
      <c r="C21" s="1">
        <f>WP2!D24</f>
        <v>0</v>
      </c>
      <c r="D21" s="1">
        <f>WP2!E24</f>
        <v>11</v>
      </c>
      <c r="E21" s="1">
        <f>WP2!F24</f>
        <v>11</v>
      </c>
      <c r="F21" s="1">
        <f>WP2!G24</f>
        <v>0</v>
      </c>
      <c r="G21" s="1">
        <f>WP2!H24</f>
        <v>36</v>
      </c>
      <c r="H21" s="1">
        <f>WP2!I24</f>
        <v>36.99</v>
      </c>
      <c r="I21" s="1">
        <f>WP2!J24</f>
        <v>0</v>
      </c>
      <c r="J21" s="1">
        <f>WP2!K24</f>
        <v>51</v>
      </c>
      <c r="K21" s="1">
        <f>WP2!L24</f>
        <v>53.856</v>
      </c>
      <c r="L21" s="1">
        <f>WP2!M24</f>
        <v>0</v>
      </c>
      <c r="M21" s="1">
        <f>WP2!N24</f>
        <v>15</v>
      </c>
      <c r="N21" s="1">
        <f>WP2!O24</f>
        <v>16.275</v>
      </c>
      <c r="O21" s="1">
        <f>WP2!P24</f>
        <v>0</v>
      </c>
      <c r="P21" s="1">
        <f>WP2!Q24</f>
        <v>113</v>
      </c>
      <c r="Q21" s="1">
        <f>WP2!R24</f>
        <v>118.12100000000001</v>
      </c>
    </row>
    <row r="22" spans="1:17" ht="12.75">
      <c r="A22" t="s">
        <v>7</v>
      </c>
      <c r="C22" s="1">
        <f>WP3!D22</f>
        <v>0</v>
      </c>
      <c r="D22" s="1">
        <f>WP3!E22</f>
        <v>0</v>
      </c>
      <c r="E22" s="1">
        <f>WP3!F22</f>
        <v>0</v>
      </c>
      <c r="F22" s="1">
        <f>WP3!G22</f>
        <v>0</v>
      </c>
      <c r="G22" s="1">
        <f>WP3!H22</f>
        <v>3</v>
      </c>
      <c r="H22" s="1">
        <f>WP3!I22</f>
        <v>3.0825000000000005</v>
      </c>
      <c r="I22" s="1">
        <f>WP3!J22</f>
        <v>0</v>
      </c>
      <c r="J22" s="1">
        <f>WP3!K22</f>
        <v>90</v>
      </c>
      <c r="K22" s="1">
        <f>WP3!L22</f>
        <v>95.04</v>
      </c>
      <c r="L22" s="1">
        <f>WP3!M22</f>
        <v>0</v>
      </c>
      <c r="M22" s="1">
        <f>WP3!N22</f>
        <v>100</v>
      </c>
      <c r="N22" s="1">
        <f>WP3!O22</f>
        <v>108.5</v>
      </c>
      <c r="O22" s="1">
        <f>WP3!P22</f>
        <v>0</v>
      </c>
      <c r="P22" s="1">
        <f>WP3!Q22</f>
        <v>193</v>
      </c>
      <c r="Q22" s="1">
        <f>WP3!R22</f>
        <v>206.6225</v>
      </c>
    </row>
    <row r="23" spans="1:17" ht="12.75">
      <c r="A23" t="s">
        <v>8</v>
      </c>
      <c r="C23" s="1">
        <f>WP4!D11</f>
        <v>0</v>
      </c>
      <c r="D23" s="1">
        <f>WP4!E11</f>
        <v>0</v>
      </c>
      <c r="E23" s="1">
        <f>WP4!F11</f>
        <v>0</v>
      </c>
      <c r="F23" s="1">
        <f>WP4!G11</f>
        <v>0</v>
      </c>
      <c r="G23" s="1">
        <f>WP4!H11</f>
        <v>0</v>
      </c>
      <c r="H23" s="1">
        <f>WP4!I11</f>
        <v>0</v>
      </c>
      <c r="I23" s="1">
        <f>WP4!J11</f>
        <v>0</v>
      </c>
      <c r="J23" s="1">
        <f>WP4!K11</f>
        <v>2</v>
      </c>
      <c r="K23" s="1">
        <f>WP4!L11</f>
        <v>2.112</v>
      </c>
      <c r="L23" s="1">
        <f>WP4!M11</f>
        <v>0</v>
      </c>
      <c r="M23" s="1">
        <f>WP4!N11</f>
        <v>16</v>
      </c>
      <c r="N23" s="1">
        <f>WP4!O11</f>
        <v>17.36</v>
      </c>
      <c r="O23" s="1">
        <f>WP4!P11</f>
        <v>0</v>
      </c>
      <c r="P23" s="1">
        <f>WP4!Q11</f>
        <v>18</v>
      </c>
      <c r="Q23" s="1">
        <f>WP4!R11</f>
        <v>19.472</v>
      </c>
    </row>
    <row r="24" spans="1:17" ht="12.75">
      <c r="A24" t="s">
        <v>10</v>
      </c>
      <c r="C24" s="1">
        <f>WP5!D12</f>
        <v>0</v>
      </c>
      <c r="D24" s="1">
        <f>WP5!E12</f>
        <v>0</v>
      </c>
      <c r="E24" s="1">
        <f>WP5!F12</f>
        <v>0</v>
      </c>
      <c r="F24" s="1">
        <f>WP5!G12</f>
        <v>0</v>
      </c>
      <c r="G24" s="1">
        <f>WP5!H12</f>
        <v>0</v>
      </c>
      <c r="H24" s="1">
        <f>WP5!I12</f>
        <v>0</v>
      </c>
      <c r="I24" s="1">
        <f>WP5!J12</f>
        <v>0</v>
      </c>
      <c r="J24" s="1">
        <f>WP5!K12</f>
        <v>0</v>
      </c>
      <c r="K24" s="1">
        <f>WP5!L12</f>
        <v>0</v>
      </c>
      <c r="L24" s="1">
        <f>WP5!M12</f>
        <v>0</v>
      </c>
      <c r="M24" s="1">
        <f>WP5!N12</f>
        <v>0</v>
      </c>
      <c r="N24" s="1">
        <f>WP5!O12</f>
        <v>0</v>
      </c>
      <c r="O24" s="1">
        <f>WP5!P12</f>
        <v>0</v>
      </c>
      <c r="P24" s="1">
        <f>WP5!Q12</f>
        <v>0</v>
      </c>
      <c r="Q24" s="1">
        <f>WP5!R12</f>
        <v>0</v>
      </c>
    </row>
    <row r="25" spans="1:2" ht="12.75">
      <c r="A25" s="6" t="s">
        <v>18</v>
      </c>
      <c r="B25" s="6"/>
    </row>
    <row r="26" spans="1:17" ht="12.75">
      <c r="A26" t="s">
        <v>6</v>
      </c>
      <c r="C26" s="1">
        <f>WP2!D45</f>
        <v>0</v>
      </c>
      <c r="D26" s="1">
        <f>WP2!E45</f>
        <v>6</v>
      </c>
      <c r="E26" s="1">
        <f>WP2!F45</f>
        <v>6</v>
      </c>
      <c r="F26" s="1">
        <f>WP2!G45</f>
        <v>0</v>
      </c>
      <c r="G26" s="1">
        <f>WP2!H45</f>
        <v>6</v>
      </c>
      <c r="H26" s="1">
        <f>WP2!I45</f>
        <v>6.165</v>
      </c>
      <c r="I26" s="1">
        <f>WP2!J45</f>
        <v>0</v>
      </c>
      <c r="J26" s="1">
        <f>WP2!K45</f>
        <v>9</v>
      </c>
      <c r="K26" s="1">
        <f>WP2!L45</f>
        <v>9.504000000000001</v>
      </c>
      <c r="L26" s="1">
        <f>WP2!M45</f>
        <v>0</v>
      </c>
      <c r="M26" s="1">
        <f>WP2!N45</f>
        <v>3</v>
      </c>
      <c r="N26" s="1">
        <f>WP2!O45</f>
        <v>3.255</v>
      </c>
      <c r="O26" s="1">
        <f>WP2!P45</f>
        <v>0</v>
      </c>
      <c r="P26" s="1">
        <f>WP2!Q45</f>
        <v>24</v>
      </c>
      <c r="Q26" s="1">
        <f>WP2!R45</f>
        <v>24.924</v>
      </c>
    </row>
    <row r="27" spans="1:17" ht="12.75">
      <c r="A27" t="s">
        <v>7</v>
      </c>
      <c r="C27" s="1">
        <f>WP3!D38</f>
        <v>0</v>
      </c>
      <c r="D27" s="1">
        <f>WP3!E38</f>
        <v>1</v>
      </c>
      <c r="E27" s="1">
        <f>WP3!F38</f>
        <v>1</v>
      </c>
      <c r="F27" s="1">
        <f>WP3!G38</f>
        <v>0</v>
      </c>
      <c r="G27" s="1">
        <f>WP3!H38</f>
        <v>5</v>
      </c>
      <c r="H27" s="1">
        <f>WP3!I38</f>
        <v>5.1375</v>
      </c>
      <c r="I27" s="1">
        <f>WP3!J38</f>
        <v>0</v>
      </c>
      <c r="J27" s="1">
        <f>WP3!K38</f>
        <v>7</v>
      </c>
      <c r="K27" s="1">
        <f>WP3!L38</f>
        <v>7.392</v>
      </c>
      <c r="L27" s="1">
        <f>WP3!M38</f>
        <v>0</v>
      </c>
      <c r="M27" s="1">
        <f>WP3!N38</f>
        <v>16</v>
      </c>
      <c r="N27" s="1">
        <f>WP3!O38</f>
        <v>17.36</v>
      </c>
      <c r="O27" s="1">
        <f>WP3!P38</f>
        <v>0</v>
      </c>
      <c r="P27" s="1">
        <f>WP3!Q38</f>
        <v>29</v>
      </c>
      <c r="Q27" s="1">
        <f>WP3!R38</f>
        <v>30.889499999999998</v>
      </c>
    </row>
    <row r="28" spans="1:17" ht="12.75">
      <c r="A28" t="s">
        <v>8</v>
      </c>
      <c r="C28" s="1">
        <f>WP4!D24</f>
        <v>0</v>
      </c>
      <c r="D28" s="1">
        <f>WP4!E24</f>
        <v>1</v>
      </c>
      <c r="E28" s="1">
        <f>WP4!F24</f>
        <v>1</v>
      </c>
      <c r="F28" s="1">
        <f>WP4!G24</f>
        <v>0</v>
      </c>
      <c r="G28" s="1">
        <f>WP4!H24</f>
        <v>1</v>
      </c>
      <c r="H28" s="1">
        <f>WP4!I24</f>
        <v>1.0275</v>
      </c>
      <c r="I28" s="1">
        <f>WP4!J24</f>
        <v>0</v>
      </c>
      <c r="J28" s="1">
        <f>WP4!K24</f>
        <v>1</v>
      </c>
      <c r="K28" s="1">
        <f>WP4!L24</f>
        <v>1.056</v>
      </c>
      <c r="L28" s="1">
        <f>WP4!M24</f>
        <v>0</v>
      </c>
      <c r="M28" s="1">
        <f>WP4!N24</f>
        <v>1</v>
      </c>
      <c r="N28" s="1">
        <f>WP4!O24</f>
        <v>1.085</v>
      </c>
      <c r="O28" s="1">
        <f>WP4!P24</f>
        <v>0</v>
      </c>
      <c r="P28" s="1">
        <f>WP4!Q24</f>
        <v>4</v>
      </c>
      <c r="Q28" s="1">
        <f>WP4!R24</f>
        <v>4.1685</v>
      </c>
    </row>
    <row r="29" spans="1:17" ht="12.75">
      <c r="A29" t="s">
        <v>10</v>
      </c>
      <c r="C29" s="1">
        <f>WP5!D22</f>
        <v>0</v>
      </c>
      <c r="D29" s="1">
        <f>WP5!E22</f>
        <v>7</v>
      </c>
      <c r="E29" s="1">
        <f>WP5!F22</f>
        <v>7</v>
      </c>
      <c r="F29" s="1">
        <f>WP5!G22</f>
        <v>0</v>
      </c>
      <c r="G29" s="1">
        <f>WP5!H22</f>
        <v>13</v>
      </c>
      <c r="H29" s="1">
        <f>WP5!I22</f>
        <v>13.357500000000002</v>
      </c>
      <c r="I29" s="1">
        <f>WP5!J22</f>
        <v>0</v>
      </c>
      <c r="J29" s="1">
        <f>WP5!K22</f>
        <v>18</v>
      </c>
      <c r="K29" s="1">
        <f>WP5!L22</f>
        <v>19.008</v>
      </c>
      <c r="L29" s="1">
        <f>WP5!M22</f>
        <v>0</v>
      </c>
      <c r="M29" s="1">
        <f>WP5!N22</f>
        <v>10</v>
      </c>
      <c r="N29" s="1">
        <f>WP5!O22</f>
        <v>10.85</v>
      </c>
      <c r="O29" s="1">
        <f>WP5!P22</f>
        <v>0</v>
      </c>
      <c r="P29" s="1">
        <f>WP5!Q22</f>
        <v>48</v>
      </c>
      <c r="Q29" s="1">
        <f>WP5!R22</f>
        <v>50.2155</v>
      </c>
    </row>
    <row r="30" spans="1:2" ht="12.75">
      <c r="A30" s="6" t="s">
        <v>30</v>
      </c>
      <c r="B30" s="6"/>
    </row>
    <row r="31" spans="1:19" ht="12.75">
      <c r="A31" t="s">
        <v>6</v>
      </c>
      <c r="C31" s="1">
        <f>WP2!D39</f>
        <v>0</v>
      </c>
      <c r="D31" s="1">
        <f>WP2!E39</f>
        <v>4</v>
      </c>
      <c r="E31" s="1">
        <f>WP2!F39</f>
        <v>4</v>
      </c>
      <c r="F31" s="1">
        <f>WP2!G39</f>
        <v>0</v>
      </c>
      <c r="G31" s="1">
        <f>WP2!H39</f>
        <v>9</v>
      </c>
      <c r="H31" s="1">
        <f>WP2!I39</f>
        <v>9.2475</v>
      </c>
      <c r="I31" s="1">
        <f>WP2!J39</f>
        <v>0</v>
      </c>
      <c r="J31" s="1">
        <f>WP2!K39</f>
        <v>6</v>
      </c>
      <c r="K31" s="1">
        <f>WP2!L39</f>
        <v>6.336</v>
      </c>
      <c r="L31" s="1">
        <f>WP2!M39</f>
        <v>0</v>
      </c>
      <c r="M31" s="1">
        <f>WP2!N39</f>
        <v>0</v>
      </c>
      <c r="N31" s="1">
        <f>WP2!O39</f>
        <v>0</v>
      </c>
      <c r="O31" s="1">
        <f>WP2!P39</f>
        <v>0</v>
      </c>
      <c r="P31" s="1">
        <f>WP2!Q39</f>
        <v>19</v>
      </c>
      <c r="Q31" s="1">
        <f>WP2!R39</f>
        <v>19.5835</v>
      </c>
      <c r="S31" s="20">
        <f>Q21+Q26+Q31</f>
        <v>162.62850000000003</v>
      </c>
    </row>
    <row r="32" spans="1:19" ht="12.75">
      <c r="A32" t="s">
        <v>7</v>
      </c>
      <c r="C32" s="1">
        <f>WP3!D31</f>
        <v>0</v>
      </c>
      <c r="D32" s="1">
        <f>WP3!E31</f>
        <v>2</v>
      </c>
      <c r="E32" s="1">
        <f>WP3!F31</f>
        <v>2</v>
      </c>
      <c r="F32" s="1">
        <f>WP3!G31</f>
        <v>0</v>
      </c>
      <c r="G32" s="1">
        <f>WP3!H31</f>
        <v>1</v>
      </c>
      <c r="H32" s="1">
        <f>WP3!I31</f>
        <v>1.0275</v>
      </c>
      <c r="I32" s="1" t="str">
        <f>WP3!J31</f>
        <v> </v>
      </c>
      <c r="J32" s="1">
        <f>WP3!K31</f>
        <v>9</v>
      </c>
      <c r="K32" s="1">
        <f>WP3!L31</f>
        <v>9.504000000000001</v>
      </c>
      <c r="L32" s="1" t="str">
        <f>WP3!M31</f>
        <v> </v>
      </c>
      <c r="M32" s="1">
        <f>WP3!N31</f>
        <v>43</v>
      </c>
      <c r="N32" s="1">
        <f>WP3!O31</f>
        <v>46.655</v>
      </c>
      <c r="O32" s="1">
        <f>WP3!P31</f>
        <v>0</v>
      </c>
      <c r="P32" s="1">
        <f>WP3!Q31</f>
        <v>55</v>
      </c>
      <c r="Q32" s="1">
        <f>WP3!R31</f>
        <v>59.1865</v>
      </c>
      <c r="S32" s="20">
        <f>Q22+Q27+Q32</f>
        <v>296.6985</v>
      </c>
    </row>
    <row r="33" spans="1:19" ht="12.75">
      <c r="A33" t="s">
        <v>8</v>
      </c>
      <c r="C33" s="1">
        <f>WP4!D20</f>
        <v>0</v>
      </c>
      <c r="D33" s="1">
        <f>WP4!E20</f>
        <v>0</v>
      </c>
      <c r="E33" s="1">
        <f>WP4!F20</f>
        <v>0</v>
      </c>
      <c r="F33" s="1">
        <f>WP4!G20</f>
        <v>0</v>
      </c>
      <c r="G33" s="1">
        <f>WP4!H20</f>
        <v>3</v>
      </c>
      <c r="H33" s="1">
        <f>WP4!I20</f>
        <v>3.0825000000000005</v>
      </c>
      <c r="I33" s="1">
        <f>WP4!J20</f>
        <v>0</v>
      </c>
      <c r="J33" s="1">
        <f>WP4!K20</f>
        <v>2</v>
      </c>
      <c r="K33" s="1">
        <f>WP4!L20</f>
        <v>2.112</v>
      </c>
      <c r="L33" s="1">
        <f>WP4!M20</f>
        <v>0</v>
      </c>
      <c r="M33" s="1">
        <f>WP4!N20</f>
        <v>4</v>
      </c>
      <c r="N33" s="1">
        <f>WP4!O20</f>
        <v>4.34</v>
      </c>
      <c r="O33" s="1">
        <f>WP4!P20</f>
        <v>0</v>
      </c>
      <c r="P33" s="1">
        <f>WP4!Q20</f>
        <v>9</v>
      </c>
      <c r="Q33" s="1">
        <f>WP4!R20</f>
        <v>9.534500000000001</v>
      </c>
      <c r="S33" s="20">
        <f>Q23+Q28+Q33</f>
        <v>33.175000000000004</v>
      </c>
    </row>
    <row r="34" spans="1:19" ht="12.75">
      <c r="A34" t="s">
        <v>10</v>
      </c>
      <c r="C34" s="1">
        <f>WP5!D17</f>
        <v>0</v>
      </c>
      <c r="D34" s="1">
        <f>WP5!E17</f>
        <v>2</v>
      </c>
      <c r="E34" s="1">
        <f>WP5!F17</f>
        <v>2</v>
      </c>
      <c r="F34" s="1">
        <f>WP5!G17</f>
        <v>0</v>
      </c>
      <c r="G34" s="1">
        <f>WP5!H17</f>
        <v>0</v>
      </c>
      <c r="H34" s="1">
        <f>WP5!I17</f>
        <v>0</v>
      </c>
      <c r="I34" s="1">
        <f>WP5!J17</f>
        <v>0</v>
      </c>
      <c r="J34" s="1">
        <f>WP5!K17</f>
        <v>2</v>
      </c>
      <c r="K34" s="1">
        <f>WP5!L17</f>
        <v>2.112</v>
      </c>
      <c r="L34" s="1">
        <f>WP5!M17</f>
        <v>0</v>
      </c>
      <c r="M34" s="1">
        <f>WP5!N17</f>
        <v>0</v>
      </c>
      <c r="N34" s="1">
        <f>WP5!O17</f>
        <v>0</v>
      </c>
      <c r="O34" s="1">
        <f>WP5!P17</f>
        <v>0</v>
      </c>
      <c r="P34" s="1">
        <f>WP5!Q17</f>
        <v>4</v>
      </c>
      <c r="Q34" s="1">
        <f>WP5!R17</f>
        <v>4.112</v>
      </c>
      <c r="S34" s="20">
        <f>Q24+Q29+Q34</f>
        <v>54.3275</v>
      </c>
    </row>
    <row r="35" spans="1:19" ht="12.75">
      <c r="A35" s="6" t="s">
        <v>20</v>
      </c>
      <c r="B35" s="6"/>
      <c r="S35" s="20"/>
    </row>
    <row r="36" spans="1:17" ht="12.75">
      <c r="A36" t="s">
        <v>193</v>
      </c>
      <c r="C36" s="1">
        <f aca="true" t="shared" si="0" ref="C36:Q36">C3+C5+C7+C9+C11+C13+C15+C17</f>
        <v>8</v>
      </c>
      <c r="D36" s="1">
        <f t="shared" si="0"/>
        <v>40.72215</v>
      </c>
      <c r="E36" s="1">
        <f t="shared" si="0"/>
        <v>40.72215</v>
      </c>
      <c r="F36" s="1">
        <f t="shared" si="0"/>
        <v>51</v>
      </c>
      <c r="G36" s="1">
        <f t="shared" si="0"/>
        <v>236.58816166666668</v>
      </c>
      <c r="H36" s="1">
        <f t="shared" si="0"/>
        <v>243.0943361125</v>
      </c>
      <c r="I36" s="1">
        <f t="shared" si="0"/>
        <v>90</v>
      </c>
      <c r="J36" s="1">
        <f t="shared" si="0"/>
        <v>405.68949503115266</v>
      </c>
      <c r="K36" s="1">
        <f t="shared" si="0"/>
        <v>428.4081067528972</v>
      </c>
      <c r="L36" s="1">
        <f t="shared" si="0"/>
        <v>60</v>
      </c>
      <c r="M36" s="1">
        <f t="shared" si="0"/>
        <v>290.51450204298163</v>
      </c>
      <c r="N36" s="1">
        <f t="shared" si="0"/>
        <v>315.20823471663505</v>
      </c>
      <c r="O36" s="1">
        <f t="shared" si="0"/>
        <v>209</v>
      </c>
      <c r="P36" s="1">
        <f t="shared" si="0"/>
        <v>973.514308740801</v>
      </c>
      <c r="Q36" s="1">
        <f t="shared" si="0"/>
        <v>1027.4328275820324</v>
      </c>
    </row>
    <row r="37" spans="1:17" ht="12.75">
      <c r="A37" t="s">
        <v>192</v>
      </c>
      <c r="C37" s="1">
        <f aca="true" t="shared" si="1" ref="C37:Q37">C4+C6+C8+C10+C12+C14+C16+C18</f>
        <v>23</v>
      </c>
      <c r="D37" s="1">
        <f t="shared" si="1"/>
        <v>120.292</v>
      </c>
      <c r="E37" s="1">
        <f t="shared" si="1"/>
        <v>120.292</v>
      </c>
      <c r="F37" s="1">
        <f t="shared" si="1"/>
        <v>30</v>
      </c>
      <c r="G37" s="1">
        <f t="shared" si="1"/>
        <v>146.1419552415459</v>
      </c>
      <c r="H37" s="1">
        <f t="shared" si="1"/>
        <v>150.16085901068843</v>
      </c>
      <c r="I37" s="1">
        <f t="shared" si="1"/>
        <v>56</v>
      </c>
      <c r="J37" s="1">
        <f t="shared" si="1"/>
        <v>291.23923358255445</v>
      </c>
      <c r="K37" s="1">
        <f t="shared" si="1"/>
        <v>307.54863066317756</v>
      </c>
      <c r="L37" s="1">
        <f t="shared" si="1"/>
        <v>43</v>
      </c>
      <c r="M37" s="1">
        <f t="shared" si="1"/>
        <v>233.7293324565443</v>
      </c>
      <c r="N37" s="1">
        <f t="shared" si="1"/>
        <v>253.5963257153506</v>
      </c>
      <c r="O37" s="1">
        <f t="shared" si="1"/>
        <v>152</v>
      </c>
      <c r="P37" s="1">
        <f t="shared" si="1"/>
        <v>791.4025212806448</v>
      </c>
      <c r="Q37" s="1">
        <f t="shared" si="1"/>
        <v>831.5978153892165</v>
      </c>
    </row>
    <row r="38" spans="1:17" ht="12.75">
      <c r="A38" t="s">
        <v>17</v>
      </c>
      <c r="C38" s="1">
        <f aca="true" t="shared" si="2" ref="C38:Q38">SUM(C21:C24)</f>
        <v>0</v>
      </c>
      <c r="D38" s="1">
        <f t="shared" si="2"/>
        <v>11</v>
      </c>
      <c r="E38" s="1">
        <f t="shared" si="2"/>
        <v>11</v>
      </c>
      <c r="F38" s="1">
        <f t="shared" si="2"/>
        <v>0</v>
      </c>
      <c r="G38" s="1">
        <f t="shared" si="2"/>
        <v>39</v>
      </c>
      <c r="H38" s="1">
        <f t="shared" si="2"/>
        <v>40.072500000000005</v>
      </c>
      <c r="I38" s="1">
        <f t="shared" si="2"/>
        <v>0</v>
      </c>
      <c r="J38" s="1">
        <f t="shared" si="2"/>
        <v>143</v>
      </c>
      <c r="K38" s="1">
        <f t="shared" si="2"/>
        <v>151.008</v>
      </c>
      <c r="L38" s="1">
        <f t="shared" si="2"/>
        <v>0</v>
      </c>
      <c r="M38" s="1">
        <f t="shared" si="2"/>
        <v>131</v>
      </c>
      <c r="N38" s="1">
        <f t="shared" si="2"/>
        <v>142.135</v>
      </c>
      <c r="O38" s="1">
        <f t="shared" si="2"/>
        <v>0</v>
      </c>
      <c r="P38" s="1">
        <f t="shared" si="2"/>
        <v>324</v>
      </c>
      <c r="Q38" s="1">
        <f t="shared" si="2"/>
        <v>344.2155</v>
      </c>
    </row>
    <row r="39" spans="1:17" ht="12.75">
      <c r="A39" t="s">
        <v>18</v>
      </c>
      <c r="C39" s="1">
        <f aca="true" t="shared" si="3" ref="C39:Q39">SUM(C26:C29)</f>
        <v>0</v>
      </c>
      <c r="D39" s="1">
        <f t="shared" si="3"/>
        <v>15</v>
      </c>
      <c r="E39" s="1">
        <f t="shared" si="3"/>
        <v>15</v>
      </c>
      <c r="F39" s="1">
        <f t="shared" si="3"/>
        <v>0</v>
      </c>
      <c r="G39" s="1">
        <f t="shared" si="3"/>
        <v>25</v>
      </c>
      <c r="H39" s="1">
        <f t="shared" si="3"/>
        <v>25.6875</v>
      </c>
      <c r="I39" s="1">
        <f t="shared" si="3"/>
        <v>0</v>
      </c>
      <c r="J39" s="1">
        <f t="shared" si="3"/>
        <v>35</v>
      </c>
      <c r="K39" s="1">
        <f t="shared" si="3"/>
        <v>36.96</v>
      </c>
      <c r="L39" s="1">
        <f t="shared" si="3"/>
        <v>0</v>
      </c>
      <c r="M39" s="1">
        <f t="shared" si="3"/>
        <v>30</v>
      </c>
      <c r="N39" s="1">
        <f t="shared" si="3"/>
        <v>32.55</v>
      </c>
      <c r="O39" s="1">
        <f t="shared" si="3"/>
        <v>0</v>
      </c>
      <c r="P39" s="1">
        <f t="shared" si="3"/>
        <v>105</v>
      </c>
      <c r="Q39" s="1">
        <f t="shared" si="3"/>
        <v>110.19749999999999</v>
      </c>
    </row>
    <row r="40" spans="1:17" ht="12.75">
      <c r="A40" t="s">
        <v>30</v>
      </c>
      <c r="C40" s="1">
        <f aca="true" t="shared" si="4" ref="C40:Q40">SUM(C31:C34)</f>
        <v>0</v>
      </c>
      <c r="D40" s="1">
        <f t="shared" si="4"/>
        <v>8</v>
      </c>
      <c r="E40" s="1">
        <f t="shared" si="4"/>
        <v>8</v>
      </c>
      <c r="F40" s="1">
        <f t="shared" si="4"/>
        <v>0</v>
      </c>
      <c r="G40" s="1">
        <f t="shared" si="4"/>
        <v>13</v>
      </c>
      <c r="H40" s="1">
        <f t="shared" si="4"/>
        <v>13.357500000000002</v>
      </c>
      <c r="I40" s="1">
        <f t="shared" si="4"/>
        <v>0</v>
      </c>
      <c r="J40" s="1">
        <f t="shared" si="4"/>
        <v>19</v>
      </c>
      <c r="K40" s="1">
        <f t="shared" si="4"/>
        <v>20.064</v>
      </c>
      <c r="L40" s="1">
        <f t="shared" si="4"/>
        <v>0</v>
      </c>
      <c r="M40" s="1">
        <f t="shared" si="4"/>
        <v>47</v>
      </c>
      <c r="N40" s="1">
        <f t="shared" si="4"/>
        <v>50.995000000000005</v>
      </c>
      <c r="O40" s="1">
        <f t="shared" si="4"/>
        <v>0</v>
      </c>
      <c r="P40" s="1">
        <f t="shared" si="4"/>
        <v>87</v>
      </c>
      <c r="Q40" s="1">
        <f t="shared" si="4"/>
        <v>92.41650000000001</v>
      </c>
    </row>
    <row r="41" spans="1:17" ht="12.75">
      <c r="A41" s="6" t="s">
        <v>163</v>
      </c>
      <c r="B41" s="6"/>
      <c r="C41" s="1">
        <f aca="true" t="shared" si="5" ref="C41:Q41">SUM(C36:C40)</f>
        <v>31</v>
      </c>
      <c r="D41" s="1">
        <f t="shared" si="5"/>
        <v>195.01415</v>
      </c>
      <c r="E41" s="1">
        <f t="shared" si="5"/>
        <v>195.01415</v>
      </c>
      <c r="F41" s="1">
        <f t="shared" si="5"/>
        <v>81</v>
      </c>
      <c r="G41" s="1">
        <f t="shared" si="5"/>
        <v>459.7301169082126</v>
      </c>
      <c r="H41" s="1">
        <f t="shared" si="5"/>
        <v>472.3726951231884</v>
      </c>
      <c r="I41" s="1">
        <f t="shared" si="5"/>
        <v>146</v>
      </c>
      <c r="J41" s="1">
        <f t="shared" si="5"/>
        <v>893.9287286137071</v>
      </c>
      <c r="K41" s="1">
        <f t="shared" si="5"/>
        <v>943.9887374160747</v>
      </c>
      <c r="L41" s="1">
        <f t="shared" si="5"/>
        <v>103</v>
      </c>
      <c r="M41" s="1">
        <f t="shared" si="5"/>
        <v>732.243834499526</v>
      </c>
      <c r="N41" s="1">
        <f t="shared" si="5"/>
        <v>794.4845604319856</v>
      </c>
      <c r="O41" s="1">
        <f t="shared" si="5"/>
        <v>361</v>
      </c>
      <c r="P41" s="1">
        <f t="shared" si="5"/>
        <v>2280.916830021446</v>
      </c>
      <c r="Q41" s="1">
        <f t="shared" si="5"/>
        <v>2405.8601429712485</v>
      </c>
    </row>
    <row r="42" spans="1:17" ht="12.75">
      <c r="A42" s="6" t="s">
        <v>162</v>
      </c>
      <c r="B42" s="6"/>
      <c r="C42" s="1">
        <f aca="true" t="shared" si="6" ref="C42:Q42">C36+SUM(C38:C40)</f>
        <v>8</v>
      </c>
      <c r="D42" s="1">
        <f t="shared" si="6"/>
        <v>74.72215</v>
      </c>
      <c r="E42" s="1">
        <f t="shared" si="6"/>
        <v>74.72215</v>
      </c>
      <c r="F42" s="1">
        <f t="shared" si="6"/>
        <v>51</v>
      </c>
      <c r="G42" s="1">
        <f t="shared" si="6"/>
        <v>313.5881616666667</v>
      </c>
      <c r="H42" s="1">
        <f t="shared" si="6"/>
        <v>322.2118361125</v>
      </c>
      <c r="I42" s="1">
        <f t="shared" si="6"/>
        <v>90</v>
      </c>
      <c r="J42" s="1">
        <f t="shared" si="6"/>
        <v>602.6894950311527</v>
      </c>
      <c r="K42" s="1">
        <f t="shared" si="6"/>
        <v>636.4401067528972</v>
      </c>
      <c r="L42" s="1">
        <f t="shared" si="6"/>
        <v>60</v>
      </c>
      <c r="M42" s="1">
        <f t="shared" si="6"/>
        <v>498.51450204298163</v>
      </c>
      <c r="N42" s="1">
        <f t="shared" si="6"/>
        <v>540.888234716635</v>
      </c>
      <c r="O42" s="1">
        <f t="shared" si="6"/>
        <v>209</v>
      </c>
      <c r="P42" s="1">
        <f t="shared" si="6"/>
        <v>1489.514308740801</v>
      </c>
      <c r="Q42" s="1">
        <f t="shared" si="6"/>
        <v>1574.2623275820324</v>
      </c>
    </row>
    <row r="43" spans="1:14" ht="12.75">
      <c r="A43" s="6" t="s">
        <v>194</v>
      </c>
      <c r="E43" s="1">
        <f>E42</f>
        <v>74.72215</v>
      </c>
      <c r="H43" s="1">
        <f>E43+H42</f>
        <v>396.9339861125</v>
      </c>
      <c r="K43" s="1">
        <f>H43+K42</f>
        <v>1033.3740928653972</v>
      </c>
      <c r="N43" s="1">
        <f>K43+N42</f>
        <v>1574.2623275820322</v>
      </c>
    </row>
    <row r="44" spans="1:14" ht="12.75">
      <c r="A44" s="6" t="s">
        <v>205</v>
      </c>
      <c r="E44" s="1">
        <f>E41</f>
        <v>195.01415</v>
      </c>
      <c r="H44" s="1">
        <f>E44+H41</f>
        <v>667.3868451231884</v>
      </c>
      <c r="K44" s="1">
        <f>H44+K41</f>
        <v>1611.3755825392632</v>
      </c>
      <c r="N44" s="1">
        <f>K44+N41</f>
        <v>2405.860142971249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2" max="11" width="12.140625" style="0" customWidth="1"/>
  </cols>
  <sheetData>
    <row r="1" spans="2:11" ht="12.75">
      <c r="B1" s="2" t="s">
        <v>16</v>
      </c>
      <c r="C1" s="2" t="s">
        <v>45</v>
      </c>
      <c r="D1" s="2" t="s">
        <v>14</v>
      </c>
      <c r="E1" s="2" t="s">
        <v>42</v>
      </c>
      <c r="F1" s="2" t="s">
        <v>12</v>
      </c>
      <c r="G1" s="2" t="s">
        <v>13</v>
      </c>
      <c r="H1" s="2" t="s">
        <v>50</v>
      </c>
      <c r="I1" s="2" t="s">
        <v>48</v>
      </c>
      <c r="J1" s="13" t="s">
        <v>97</v>
      </c>
      <c r="K1" s="2" t="s">
        <v>4</v>
      </c>
    </row>
    <row r="2" spans="1:12" ht="12.75">
      <c r="A2" t="s">
        <v>6</v>
      </c>
      <c r="B2" s="20">
        <v>0</v>
      </c>
      <c r="C2" s="20">
        <f>WP2!R52+WP2!R53+WP2!R54</f>
        <v>113.31407666666667</v>
      </c>
      <c r="D2" s="20">
        <f>WP2!R4+WP2!R55+WP2!R56</f>
        <v>90.42626726999998</v>
      </c>
      <c r="E2" s="20">
        <f>WP2!R57+WP2!R58</f>
        <v>64.41062645833334</v>
      </c>
      <c r="F2" s="20">
        <v>0</v>
      </c>
      <c r="G2" s="20">
        <v>0</v>
      </c>
      <c r="H2" s="20">
        <f>WP2!R5+WP2!R59+WP2!R60</f>
        <v>103.90009148708745</v>
      </c>
      <c r="I2" s="20">
        <f>WP2!R6+WP2!R61+WP2!R62</f>
        <v>243.311751625</v>
      </c>
      <c r="J2" s="20">
        <f>WP2!R24+WP2!R39+WP2!R45</f>
        <v>162.6285</v>
      </c>
      <c r="K2" s="20">
        <f>SUM(B2:J2)</f>
        <v>777.9913135070874</v>
      </c>
      <c r="L2" s="1"/>
    </row>
    <row r="3" spans="1:12" ht="12.75">
      <c r="A3" t="s">
        <v>7</v>
      </c>
      <c r="B3" s="20">
        <f>WP3!R4+WP3!R45+WP3!R46</f>
        <v>60.24205353000001</v>
      </c>
      <c r="C3" s="20">
        <v>0</v>
      </c>
      <c r="D3" s="20">
        <f>WP3!R5+WP3!R47+WP3!R48+WP3!R49</f>
        <v>111.11446063916665</v>
      </c>
      <c r="E3" s="20">
        <v>0</v>
      </c>
      <c r="F3" s="20">
        <f>WP3!R6+WP3!R7</f>
        <v>277.2769185</v>
      </c>
      <c r="G3" s="20">
        <f>WP3!R8+WP3!R9+WP3!R10+WP3!R50+WP3!R51</f>
        <v>288.8905</v>
      </c>
      <c r="H3" s="20">
        <v>0</v>
      </c>
      <c r="I3" s="20">
        <v>0</v>
      </c>
      <c r="J3" s="20">
        <f>WP3!R22+WP3!R31+WP3!R38</f>
        <v>296.6985</v>
      </c>
      <c r="K3" s="20">
        <f>SUM(B3:J3)</f>
        <v>1034.2224326691667</v>
      </c>
      <c r="L3" s="1"/>
    </row>
    <row r="4" spans="1:12" ht="12.75">
      <c r="A4" t="s">
        <v>8</v>
      </c>
      <c r="B4" s="20">
        <v>0</v>
      </c>
      <c r="C4" s="20">
        <v>0</v>
      </c>
      <c r="D4" s="20">
        <v>0</v>
      </c>
      <c r="E4" s="20">
        <f>WP4!R31+WP4!R32+WP4!R33+WP4!R34+WP4!R35</f>
        <v>152.09101770833334</v>
      </c>
      <c r="F4" s="20">
        <v>0</v>
      </c>
      <c r="G4" s="20">
        <v>0</v>
      </c>
      <c r="H4" s="20">
        <v>0</v>
      </c>
      <c r="I4" s="20">
        <v>0</v>
      </c>
      <c r="J4" s="20">
        <f>WP4!R11+WP4!R20+WP4!R24</f>
        <v>33.175000000000004</v>
      </c>
      <c r="K4" s="20">
        <f>SUM(B4:J4)</f>
        <v>185.26601770833335</v>
      </c>
      <c r="L4" s="1"/>
    </row>
    <row r="5" spans="1:12" ht="12.75">
      <c r="A5" t="s">
        <v>10</v>
      </c>
      <c r="B5" s="20">
        <f>WP5!R4</f>
        <v>92.34882228000001</v>
      </c>
      <c r="C5" s="20">
        <f>WP5!R5</f>
        <v>71.85833625000001</v>
      </c>
      <c r="D5" s="20">
        <f>WP5!R6</f>
        <v>29.123951215833333</v>
      </c>
      <c r="E5" s="20">
        <v>0</v>
      </c>
      <c r="F5" s="20">
        <v>0</v>
      </c>
      <c r="G5" s="20">
        <v>0</v>
      </c>
      <c r="H5" s="20">
        <f>WP5!R7+WP5!R29</f>
        <v>123.82989434082802</v>
      </c>
      <c r="I5" s="20">
        <f>WP5!R8</f>
        <v>36.891875</v>
      </c>
      <c r="J5" s="20">
        <f>WP5!R12+WP5!R17+WP5!R22</f>
        <v>54.3275</v>
      </c>
      <c r="K5" s="20">
        <f>SUM(B5:J5)</f>
        <v>408.3803790866614</v>
      </c>
      <c r="L5" s="20">
        <f>SUM(K2:K5)</f>
        <v>2405.860142971249</v>
      </c>
    </row>
    <row r="6" spans="1:12" ht="12.75">
      <c r="A6" t="s">
        <v>4</v>
      </c>
      <c r="B6" s="20">
        <f aca="true" t="shared" si="0" ref="B6:J6">SUM(B2:B5)</f>
        <v>152.59087581</v>
      </c>
      <c r="C6" s="20">
        <f t="shared" si="0"/>
        <v>185.17241291666667</v>
      </c>
      <c r="D6" s="20">
        <f t="shared" si="0"/>
        <v>230.66467912499996</v>
      </c>
      <c r="E6" s="20">
        <f t="shared" si="0"/>
        <v>216.50164416666667</v>
      </c>
      <c r="F6" s="20">
        <f t="shared" si="0"/>
        <v>277.2769185</v>
      </c>
      <c r="G6" s="20">
        <f t="shared" si="0"/>
        <v>288.8905</v>
      </c>
      <c r="H6" s="20">
        <f t="shared" si="0"/>
        <v>227.72998582791547</v>
      </c>
      <c r="I6" s="20">
        <f t="shared" si="0"/>
        <v>280.20362662499997</v>
      </c>
      <c r="J6" s="20">
        <f t="shared" si="0"/>
        <v>546.8295</v>
      </c>
      <c r="K6" s="20">
        <f>SUM(B6:J6)</f>
        <v>2405.860142971249</v>
      </c>
      <c r="L6" s="1"/>
    </row>
    <row r="7" ht="12.75">
      <c r="I7" s="20">
        <f>SUM(B6:I6)</f>
        <v>1859.0306429712487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0.7109375" style="0" customWidth="1"/>
    <col min="3" max="3" width="11.00390625" style="0" customWidth="1"/>
  </cols>
  <sheetData>
    <row r="1" spans="1:7" ht="12.75">
      <c r="A1" t="s">
        <v>185</v>
      </c>
      <c r="D1" s="2" t="s">
        <v>1</v>
      </c>
      <c r="E1" s="2" t="s">
        <v>2</v>
      </c>
      <c r="F1" s="2" t="s">
        <v>3</v>
      </c>
      <c r="G1" s="2" t="s">
        <v>176</v>
      </c>
    </row>
    <row r="2" spans="4:7" ht="12.75">
      <c r="D2" s="2"/>
      <c r="E2" s="2"/>
      <c r="F2" s="2"/>
      <c r="G2" s="2"/>
    </row>
    <row r="3" ht="12.75">
      <c r="A3" s="6" t="s">
        <v>180</v>
      </c>
    </row>
    <row r="4" spans="1:7" ht="12.75">
      <c r="A4" t="s">
        <v>0</v>
      </c>
      <c r="B4" t="s">
        <v>22</v>
      </c>
      <c r="C4" s="7" t="s">
        <v>11</v>
      </c>
      <c r="G4" s="17"/>
    </row>
    <row r="5" spans="1:12" ht="12.75">
      <c r="A5" t="s">
        <v>123</v>
      </c>
      <c r="B5" t="s">
        <v>23</v>
      </c>
      <c r="C5" s="7" t="s">
        <v>16</v>
      </c>
      <c r="D5" s="18">
        <f>1.46*26.22/12</f>
        <v>3.1900999999999997</v>
      </c>
      <c r="E5" s="17">
        <f>1.46*27.288/12</f>
        <v>3.32004</v>
      </c>
      <c r="F5" s="17">
        <f>1.46*28.689/12</f>
        <v>3.4904949999999997</v>
      </c>
      <c r="G5" s="17">
        <f>E5+F5-D5</f>
        <v>3.620435</v>
      </c>
      <c r="H5" s="8"/>
      <c r="I5" s="8"/>
      <c r="J5" s="8"/>
      <c r="K5" s="8"/>
      <c r="L5" s="7"/>
    </row>
    <row r="6" spans="1:13" ht="12.75">
      <c r="A6" t="s">
        <v>101</v>
      </c>
      <c r="B6" t="s">
        <v>23</v>
      </c>
      <c r="C6" s="7" t="s">
        <v>45</v>
      </c>
      <c r="D6" s="17">
        <f>1.03*41.2/12</f>
        <v>3.5363333333333338</v>
      </c>
      <c r="E6" s="17">
        <f>1.03*43.3/12</f>
        <v>3.716583333333333</v>
      </c>
      <c r="F6" s="17">
        <f>1.03*45/12</f>
        <v>3.8625000000000003</v>
      </c>
      <c r="G6" s="17">
        <f>E6+F6-D6</f>
        <v>4.04275</v>
      </c>
      <c r="H6" s="8"/>
      <c r="I6" s="8"/>
      <c r="J6" s="8"/>
      <c r="K6" s="8"/>
      <c r="L6" s="8"/>
      <c r="M6" s="7"/>
    </row>
    <row r="7" spans="1:12" s="7" customFormat="1" ht="12.75">
      <c r="A7" s="7" t="s">
        <v>99</v>
      </c>
      <c r="B7" s="7" t="s">
        <v>23</v>
      </c>
      <c r="C7" s="7" t="s">
        <v>14</v>
      </c>
      <c r="D7" s="17">
        <f>1.46*31.158/12</f>
        <v>3.7908899999999996</v>
      </c>
      <c r="E7" s="17">
        <f>1.46*32.003/12</f>
        <v>3.893698333333333</v>
      </c>
      <c r="F7" s="17">
        <f>1.46*32.873/12</f>
        <v>3.999548333333333</v>
      </c>
      <c r="G7" s="17">
        <f>E7+F7-D7</f>
        <v>4.102356666666667</v>
      </c>
      <c r="H7" s="8"/>
      <c r="J7" s="8"/>
      <c r="K7" s="8"/>
      <c r="L7" s="8"/>
    </row>
    <row r="8" spans="1:19" ht="12.75">
      <c r="A8" t="s">
        <v>146</v>
      </c>
      <c r="B8" t="s">
        <v>21</v>
      </c>
      <c r="C8" s="7" t="s">
        <v>12</v>
      </c>
      <c r="D8" s="17">
        <f>68.307/12</f>
        <v>5.6922500000000005</v>
      </c>
      <c r="E8" s="17">
        <f>70.983/12</f>
        <v>5.91525</v>
      </c>
      <c r="F8" s="17">
        <f>73.662/12</f>
        <v>6.1385000000000005</v>
      </c>
      <c r="G8" s="17">
        <f>76.34/12</f>
        <v>6.361666666666667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7"/>
    </row>
    <row r="9" spans="1:19" ht="12.75">
      <c r="A9" t="s">
        <v>125</v>
      </c>
      <c r="B9" t="s">
        <v>21</v>
      </c>
      <c r="C9" s="7" t="s">
        <v>12</v>
      </c>
      <c r="D9" s="18">
        <v>10.885</v>
      </c>
      <c r="E9" s="17">
        <v>11.196</v>
      </c>
      <c r="F9" s="17">
        <v>11.504</v>
      </c>
      <c r="G9" s="17">
        <v>11.815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/>
    </row>
    <row r="10" spans="1:19" ht="12.75">
      <c r="A10" t="s">
        <v>126</v>
      </c>
      <c r="B10" t="s">
        <v>23</v>
      </c>
      <c r="C10" s="7" t="s">
        <v>13</v>
      </c>
      <c r="D10" s="17">
        <f aca="true" t="shared" si="0" ref="D10:G11">32.5/5</f>
        <v>6.5</v>
      </c>
      <c r="E10" s="17">
        <f t="shared" si="0"/>
        <v>6.5</v>
      </c>
      <c r="F10" s="17">
        <f t="shared" si="0"/>
        <v>6.5</v>
      </c>
      <c r="G10" s="17">
        <f t="shared" si="0"/>
        <v>6.5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7"/>
    </row>
    <row r="11" spans="1:19" ht="12.75">
      <c r="A11" t="s">
        <v>142</v>
      </c>
      <c r="B11" t="s">
        <v>21</v>
      </c>
      <c r="C11" s="7" t="s">
        <v>13</v>
      </c>
      <c r="D11" s="17">
        <f t="shared" si="0"/>
        <v>6.5</v>
      </c>
      <c r="E11" s="17">
        <f t="shared" si="0"/>
        <v>6.5</v>
      </c>
      <c r="F11" s="17">
        <f t="shared" si="0"/>
        <v>6.5</v>
      </c>
      <c r="G11" s="17">
        <f t="shared" si="0"/>
        <v>6.5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"/>
    </row>
    <row r="12" spans="1:19" ht="12.75">
      <c r="A12" t="s">
        <v>143</v>
      </c>
      <c r="B12" t="s">
        <v>23</v>
      </c>
      <c r="C12" s="7" t="s">
        <v>13</v>
      </c>
      <c r="D12" s="17">
        <f>59/12</f>
        <v>4.916666666666667</v>
      </c>
      <c r="E12" s="17">
        <f>59/12</f>
        <v>4.916666666666667</v>
      </c>
      <c r="F12" s="17">
        <f>59/12</f>
        <v>4.916666666666667</v>
      </c>
      <c r="G12" s="17">
        <f>59/12</f>
        <v>4.916666666666667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7"/>
    </row>
    <row r="13" spans="1:13" ht="12.75">
      <c r="A13" t="s">
        <v>117</v>
      </c>
      <c r="B13" t="s">
        <v>23</v>
      </c>
      <c r="C13" s="7" t="s">
        <v>50</v>
      </c>
      <c r="D13" s="17">
        <f>2*E13-F13</f>
        <v>3.49961661173567</v>
      </c>
      <c r="E13" s="17">
        <f>(30.585+14.069)/(1.035*12)</f>
        <v>3.5953301127214177</v>
      </c>
      <c r="F13" s="17">
        <f>(32.461+14.932)/(1.07*12)</f>
        <v>3.691043613707165</v>
      </c>
      <c r="G13" s="17">
        <f>2*F13-E13</f>
        <v>3.7867571146929127</v>
      </c>
      <c r="H13" s="8"/>
      <c r="I13" s="8"/>
      <c r="J13" s="8"/>
      <c r="K13" s="8"/>
      <c r="L13" s="8"/>
      <c r="M13" s="7"/>
    </row>
    <row r="14" spans="1:13" ht="12.75">
      <c r="A14" t="s">
        <v>100</v>
      </c>
      <c r="B14" t="s">
        <v>23</v>
      </c>
      <c r="C14" s="7" t="s">
        <v>48</v>
      </c>
      <c r="D14" s="17">
        <f>42.5/12</f>
        <v>3.5416666666666665</v>
      </c>
      <c r="E14" s="17">
        <f>44/12</f>
        <v>3.6666666666666665</v>
      </c>
      <c r="F14" s="17">
        <f>46/12</f>
        <v>3.8333333333333335</v>
      </c>
      <c r="G14" s="17">
        <f>E14+F14-D14</f>
        <v>3.9583333333333335</v>
      </c>
      <c r="H14" s="8"/>
      <c r="I14" s="8"/>
      <c r="J14" s="8"/>
      <c r="K14" s="8"/>
      <c r="L14" s="8"/>
      <c r="M14" s="7"/>
    </row>
    <row r="16" ht="12.75">
      <c r="A16" s="6" t="s">
        <v>181</v>
      </c>
    </row>
    <row r="17" spans="1:3" ht="12.75">
      <c r="A17" t="s">
        <v>0</v>
      </c>
      <c r="B17" t="s">
        <v>22</v>
      </c>
      <c r="C17" s="7" t="s">
        <v>11</v>
      </c>
    </row>
    <row r="18" spans="1:19" ht="12.75">
      <c r="A18" t="s">
        <v>122</v>
      </c>
      <c r="B18" t="s">
        <v>21</v>
      </c>
      <c r="C18" s="7" t="s">
        <v>16</v>
      </c>
      <c r="D18" s="18">
        <f>1.46*48.023/12</f>
        <v>5.8427983333333335</v>
      </c>
      <c r="E18" s="17">
        <f>1.46*48.023/12</f>
        <v>5.8427983333333335</v>
      </c>
      <c r="F18" s="17">
        <f>1.46*48.023/12</f>
        <v>5.8427983333333335</v>
      </c>
      <c r="G18" s="17">
        <f aca="true" t="shared" si="1" ref="G18:G25">E18+F18-D18</f>
        <v>5.8427983333333335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>
        <f>F18+I18+L18+O18</f>
        <v>5.8427983333333335</v>
      </c>
      <c r="S18" s="7"/>
    </row>
    <row r="19" spans="1:19" ht="12.75">
      <c r="A19" t="s">
        <v>141</v>
      </c>
      <c r="B19" t="s">
        <v>54</v>
      </c>
      <c r="C19" s="7" t="s">
        <v>16</v>
      </c>
      <c r="D19" s="18">
        <f>1.46*22.337/12</f>
        <v>2.7176683333333336</v>
      </c>
      <c r="E19" s="17">
        <f>1.46*23.015/12</f>
        <v>2.8001583333333335</v>
      </c>
      <c r="F19" s="17">
        <f>1.46*23.713/12</f>
        <v>2.8850816666666668</v>
      </c>
      <c r="G19" s="17">
        <f t="shared" si="1"/>
        <v>2.9675716666666667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>
        <f>F19+I19+L19+O19</f>
        <v>2.8850816666666668</v>
      </c>
      <c r="S19" s="7"/>
    </row>
    <row r="20" spans="1:13" ht="12.75">
      <c r="A20" t="s">
        <v>110</v>
      </c>
      <c r="B20" t="s">
        <v>24</v>
      </c>
      <c r="C20" s="7" t="s">
        <v>45</v>
      </c>
      <c r="D20" s="17">
        <f>1.03*3.1</f>
        <v>3.193</v>
      </c>
      <c r="E20" s="17">
        <f>1.03*9.4/3</f>
        <v>3.2273333333333336</v>
      </c>
      <c r="F20" s="17">
        <f>1.03*12.7/4</f>
        <v>3.27025</v>
      </c>
      <c r="G20" s="17">
        <f t="shared" si="1"/>
        <v>3.304583333333333</v>
      </c>
      <c r="H20" s="8"/>
      <c r="I20" s="8"/>
      <c r="J20" s="8"/>
      <c r="K20" s="8"/>
      <c r="L20" s="8"/>
      <c r="M20" s="7"/>
    </row>
    <row r="21" spans="1:12" s="7" customFormat="1" ht="12.75">
      <c r="A21" s="7" t="s">
        <v>108</v>
      </c>
      <c r="B21" s="7" t="s">
        <v>21</v>
      </c>
      <c r="C21" s="7" t="s">
        <v>45</v>
      </c>
      <c r="D21" s="17">
        <f>1.03*11.2/2</f>
        <v>5.768</v>
      </c>
      <c r="E21" s="17">
        <f>1.03*11.2/2</f>
        <v>5.768</v>
      </c>
      <c r="F21" s="17">
        <f>1.03*17.2/3</f>
        <v>5.905333333333334</v>
      </c>
      <c r="G21" s="17">
        <f t="shared" si="1"/>
        <v>5.905333333333334</v>
      </c>
      <c r="H21" s="8"/>
      <c r="I21" s="8"/>
      <c r="J21" s="8"/>
      <c r="K21" s="8"/>
      <c r="L21" s="8"/>
    </row>
    <row r="22" spans="1:13" ht="12.75">
      <c r="A22" t="s">
        <v>109</v>
      </c>
      <c r="B22" t="s">
        <v>24</v>
      </c>
      <c r="C22" s="7" t="s">
        <v>45</v>
      </c>
      <c r="D22" s="17">
        <f>1.03*3.4</f>
        <v>3.502</v>
      </c>
      <c r="E22" s="17">
        <f>1.03*7/2</f>
        <v>3.605</v>
      </c>
      <c r="F22" s="17">
        <f>1.03*7.1/2</f>
        <v>3.6565</v>
      </c>
      <c r="G22" s="17">
        <f t="shared" si="1"/>
        <v>3.7595</v>
      </c>
      <c r="H22" s="8"/>
      <c r="I22" s="8"/>
      <c r="J22" s="8"/>
      <c r="K22" s="8"/>
      <c r="L22" s="8"/>
      <c r="M22" s="7"/>
    </row>
    <row r="23" spans="1:19" ht="12.75">
      <c r="A23" t="s">
        <v>124</v>
      </c>
      <c r="B23" t="s">
        <v>24</v>
      </c>
      <c r="C23" s="7" t="s">
        <v>14</v>
      </c>
      <c r="D23" s="19">
        <f>1.46*37.636/12</f>
        <v>4.579046666666667</v>
      </c>
      <c r="E23" s="20">
        <f>1.46*38.676/12</f>
        <v>4.70558</v>
      </c>
      <c r="F23" s="20">
        <f>1.46*39.747/12</f>
        <v>4.835885</v>
      </c>
      <c r="G23" s="17">
        <f t="shared" si="1"/>
        <v>4.962418333333334</v>
      </c>
      <c r="H23" s="1"/>
      <c r="I23" s="8"/>
      <c r="J23" s="8"/>
      <c r="K23" s="1"/>
      <c r="L23" s="8"/>
      <c r="M23" s="8"/>
      <c r="N23" s="1"/>
      <c r="O23" s="8"/>
      <c r="P23" s="8"/>
      <c r="Q23" s="8"/>
      <c r="R23" s="8">
        <f>F23+I23+L23+O23</f>
        <v>4.835885</v>
      </c>
      <c r="S23" s="7"/>
    </row>
    <row r="24" spans="1:19" ht="12.75">
      <c r="A24" t="s">
        <v>112</v>
      </c>
      <c r="B24" t="s">
        <v>21</v>
      </c>
      <c r="C24" s="7" t="s">
        <v>14</v>
      </c>
      <c r="D24" s="19">
        <f>1.46*56.976/12</f>
        <v>6.932079999999999</v>
      </c>
      <c r="E24" s="20">
        <f>1.46*58.595/12</f>
        <v>7.129058333333333</v>
      </c>
      <c r="F24" s="20">
        <f>1.46*60.263/12</f>
        <v>7.331998333333332</v>
      </c>
      <c r="G24" s="17">
        <f t="shared" si="1"/>
        <v>7.528976666666665</v>
      </c>
      <c r="H24" s="1"/>
      <c r="I24" s="8"/>
      <c r="J24" s="8"/>
      <c r="K24" s="1"/>
      <c r="L24" s="8"/>
      <c r="M24" s="8"/>
      <c r="N24" s="1"/>
      <c r="O24" s="8"/>
      <c r="P24" s="8"/>
      <c r="Q24" s="8"/>
      <c r="R24" s="8">
        <f>F24+I24+L24+O24</f>
        <v>7.331998333333332</v>
      </c>
      <c r="S24" s="7"/>
    </row>
    <row r="25" spans="1:19" ht="12.75">
      <c r="A25" t="s">
        <v>113</v>
      </c>
      <c r="B25" t="s">
        <v>21</v>
      </c>
      <c r="C25" s="7" t="s">
        <v>14</v>
      </c>
      <c r="D25" s="19">
        <f>1.46*40.849/12</f>
        <v>4.969961666666666</v>
      </c>
      <c r="E25" s="20">
        <f>1.46*41.986/12</f>
        <v>5.108296666666666</v>
      </c>
      <c r="F25" s="20">
        <f>1.46*43.157/12</f>
        <v>5.250768333333332</v>
      </c>
      <c r="G25" s="17">
        <f t="shared" si="1"/>
        <v>5.389103333333331</v>
      </c>
      <c r="H25" s="1"/>
      <c r="I25" s="8"/>
      <c r="J25" s="8"/>
      <c r="K25" s="1"/>
      <c r="L25" s="8"/>
      <c r="M25" s="8"/>
      <c r="N25" s="1"/>
      <c r="O25" s="8"/>
      <c r="P25" s="8"/>
      <c r="Q25" s="8"/>
      <c r="R25" s="8">
        <f>F25+I25+L25+O25</f>
        <v>5.250768333333332</v>
      </c>
      <c r="S25" s="7"/>
    </row>
    <row r="26" spans="1:12" s="7" customFormat="1" ht="12.75">
      <c r="A26" s="7" t="s">
        <v>131</v>
      </c>
      <c r="B26" s="7" t="s">
        <v>24</v>
      </c>
      <c r="C26" s="7" t="s">
        <v>42</v>
      </c>
      <c r="D26" s="17">
        <f>35.322/12</f>
        <v>2.9435000000000002</v>
      </c>
      <c r="E26" s="17">
        <f>37.276/12</f>
        <v>3.1063333333333336</v>
      </c>
      <c r="F26" s="17">
        <f>39.739/12</f>
        <v>3.311583333333333</v>
      </c>
      <c r="G26" s="17">
        <f aca="true" t="shared" si="2" ref="G26:G37">E26+F26-D26</f>
        <v>3.4744166666666665</v>
      </c>
      <c r="H26" s="8"/>
      <c r="I26" s="8"/>
      <c r="J26" s="8"/>
      <c r="K26" s="8"/>
      <c r="L26" s="8"/>
    </row>
    <row r="27" spans="1:12" s="7" customFormat="1" ht="12.75">
      <c r="A27" s="7" t="s">
        <v>130</v>
      </c>
      <c r="B27" s="7" t="s">
        <v>24</v>
      </c>
      <c r="C27" s="7" t="s">
        <v>42</v>
      </c>
      <c r="D27" s="17">
        <f>47.98/12</f>
        <v>3.998333333333333</v>
      </c>
      <c r="E27" s="17">
        <f>51.312/12</f>
        <v>4.276</v>
      </c>
      <c r="F27" s="17">
        <f>54.513/12</f>
        <v>4.54275</v>
      </c>
      <c r="G27" s="17">
        <f t="shared" si="2"/>
        <v>4.820416666666667</v>
      </c>
      <c r="H27" s="8"/>
      <c r="I27" s="8"/>
      <c r="J27" s="8"/>
      <c r="K27" s="8"/>
      <c r="L27" s="8"/>
    </row>
    <row r="28" spans="1:12" s="7" customFormat="1" ht="12.75">
      <c r="A28" s="7" t="s">
        <v>114</v>
      </c>
      <c r="B28" s="7" t="s">
        <v>21</v>
      </c>
      <c r="C28" s="7" t="s">
        <v>42</v>
      </c>
      <c r="D28" s="17">
        <f>71.066/12</f>
        <v>5.922166666666667</v>
      </c>
      <c r="E28" s="17">
        <f>72.843/12</f>
        <v>6.070250000000001</v>
      </c>
      <c r="F28" s="17">
        <f>74.664/12</f>
        <v>6.222</v>
      </c>
      <c r="G28" s="17">
        <f t="shared" si="2"/>
        <v>6.370083333333334</v>
      </c>
      <c r="H28" s="8"/>
      <c r="I28" s="8"/>
      <c r="J28" s="8"/>
      <c r="K28" s="8"/>
      <c r="L28" s="8"/>
    </row>
    <row r="29" spans="1:12" s="7" customFormat="1" ht="12.75">
      <c r="A29" s="7" t="s">
        <v>115</v>
      </c>
      <c r="B29" s="7" t="s">
        <v>21</v>
      </c>
      <c r="C29" s="7" t="s">
        <v>42</v>
      </c>
      <c r="D29" s="17">
        <f>71.954/12</f>
        <v>5.996166666666666</v>
      </c>
      <c r="E29" s="17">
        <f>73.753/12</f>
        <v>6.146083333333333</v>
      </c>
      <c r="F29" s="17">
        <f>75.597/12</f>
        <v>6.2997499999999995</v>
      </c>
      <c r="G29" s="17">
        <f t="shared" si="2"/>
        <v>6.449666666666666</v>
      </c>
      <c r="H29" s="8"/>
      <c r="I29" s="8"/>
      <c r="J29" s="8"/>
      <c r="K29" s="8"/>
      <c r="L29" s="8"/>
    </row>
    <row r="30" spans="1:12" s="7" customFormat="1" ht="12.75">
      <c r="A30" s="7" t="s">
        <v>132</v>
      </c>
      <c r="B30" s="7" t="s">
        <v>24</v>
      </c>
      <c r="C30" s="7" t="s">
        <v>42</v>
      </c>
      <c r="D30" s="17">
        <f>28.725/12</f>
        <v>2.3937500000000003</v>
      </c>
      <c r="E30" s="17">
        <f>30.314/12</f>
        <v>2.5261666666666667</v>
      </c>
      <c r="F30" s="17">
        <f>32.013/12</f>
        <v>2.66775</v>
      </c>
      <c r="G30" s="17">
        <f t="shared" si="2"/>
        <v>2.8001666666666662</v>
      </c>
      <c r="H30" s="8"/>
      <c r="I30" s="8"/>
      <c r="J30" s="8"/>
      <c r="K30" s="8"/>
      <c r="L30" s="8"/>
    </row>
    <row r="31" spans="1:12" s="7" customFormat="1" ht="12.75">
      <c r="A31" s="7" t="s">
        <v>129</v>
      </c>
      <c r="B31" s="7" t="s">
        <v>21</v>
      </c>
      <c r="C31" s="7" t="s">
        <v>42</v>
      </c>
      <c r="D31" s="17">
        <f>68.709/12</f>
        <v>5.725750000000001</v>
      </c>
      <c r="E31" s="17">
        <f>73.146/12</f>
        <v>6.0955</v>
      </c>
      <c r="F31" s="17">
        <f>76.527/12</f>
        <v>6.37725</v>
      </c>
      <c r="G31" s="17">
        <f t="shared" si="2"/>
        <v>6.747000000000001</v>
      </c>
      <c r="H31" s="8"/>
      <c r="I31" s="8"/>
      <c r="J31" s="8"/>
      <c r="K31" s="8"/>
      <c r="L31" s="8"/>
    </row>
    <row r="32" spans="1:12" s="7" customFormat="1" ht="12.75">
      <c r="A32" s="7" t="s">
        <v>128</v>
      </c>
      <c r="B32" s="7" t="s">
        <v>21</v>
      </c>
      <c r="C32" s="7" t="s">
        <v>42</v>
      </c>
      <c r="D32" s="17">
        <f>71.066/12</f>
        <v>5.922166666666667</v>
      </c>
      <c r="E32" s="17">
        <f>72.843/12</f>
        <v>6.070250000000001</v>
      </c>
      <c r="F32" s="17">
        <f>74.664/12</f>
        <v>6.222</v>
      </c>
      <c r="G32" s="17">
        <f t="shared" si="2"/>
        <v>6.370083333333334</v>
      </c>
      <c r="H32" s="8"/>
      <c r="I32" s="8"/>
      <c r="J32" s="8"/>
      <c r="K32" s="8"/>
      <c r="L32" s="8"/>
    </row>
    <row r="33" spans="1:13" ht="12.75">
      <c r="A33" t="s">
        <v>116</v>
      </c>
      <c r="B33" t="s">
        <v>21</v>
      </c>
      <c r="C33" s="7" t="s">
        <v>50</v>
      </c>
      <c r="D33" s="17">
        <f>2*E33-F33</f>
        <v>4.480303851189672</v>
      </c>
      <c r="E33" s="17">
        <f>(3.184+1.465)/1.035</f>
        <v>4.491787439613527</v>
      </c>
      <c r="F33" s="17">
        <f>(6.601+3.036)/(1.07*2)</f>
        <v>4.503271028037383</v>
      </c>
      <c r="G33" s="17">
        <f>2*F33-E33</f>
        <v>4.514754616461238</v>
      </c>
      <c r="H33" s="8"/>
      <c r="I33" s="8"/>
      <c r="J33" s="8"/>
      <c r="K33" s="8"/>
      <c r="L33" s="8"/>
      <c r="M33" s="7"/>
    </row>
    <row r="34" spans="1:13" ht="12.75">
      <c r="A34" t="s">
        <v>140</v>
      </c>
      <c r="B34" t="s">
        <v>21</v>
      </c>
      <c r="C34" s="7" t="s">
        <v>50</v>
      </c>
      <c r="D34" s="17">
        <f>(8.053+3.704)/2</f>
        <v>5.878500000000001</v>
      </c>
      <c r="E34" s="17">
        <f>(8.344+3.838)/(1.035*2)</f>
        <v>5.885024154589372</v>
      </c>
      <c r="F34" s="17">
        <f>(8.646+3.977)/(1.07*2)</f>
        <v>5.898598130841122</v>
      </c>
      <c r="G34" s="17">
        <f t="shared" si="2"/>
        <v>5.905122285430492</v>
      </c>
      <c r="H34" s="8"/>
      <c r="I34" s="8"/>
      <c r="J34" s="8"/>
      <c r="K34" s="8"/>
      <c r="L34" s="8"/>
      <c r="M34" s="7"/>
    </row>
    <row r="35" spans="1:13" ht="12.75">
      <c r="A35" t="s">
        <v>98</v>
      </c>
      <c r="B35" t="s">
        <v>23</v>
      </c>
      <c r="C35" s="7" t="s">
        <v>50</v>
      </c>
      <c r="D35" s="17">
        <f>(6.576+3.025)/2</f>
        <v>4.8004999999999995</v>
      </c>
      <c r="E35" s="17">
        <f>(7.095+3.264)/(1.035*2)</f>
        <v>5.004347826086957</v>
      </c>
      <c r="F35" s="17">
        <f>(22.086+10.16)/(1.07*6)</f>
        <v>5.022741433021806</v>
      </c>
      <c r="G35" s="17">
        <f t="shared" si="2"/>
        <v>5.2265892591087635</v>
      </c>
      <c r="H35" s="8"/>
      <c r="I35" s="8"/>
      <c r="J35" s="8"/>
      <c r="K35" s="8"/>
      <c r="L35" s="8"/>
      <c r="M35" s="7"/>
    </row>
    <row r="36" spans="1:13" ht="12.75">
      <c r="A36" t="s">
        <v>118</v>
      </c>
      <c r="B36" t="s">
        <v>21</v>
      </c>
      <c r="C36" s="7" t="s">
        <v>48</v>
      </c>
      <c r="D36" s="17">
        <f>20.535/4</f>
        <v>5.13375</v>
      </c>
      <c r="E36" s="17">
        <f>20.535/4</f>
        <v>5.13375</v>
      </c>
      <c r="F36" s="17">
        <f>34.224/6</f>
        <v>5.704</v>
      </c>
      <c r="G36" s="17">
        <f t="shared" si="2"/>
        <v>5.704</v>
      </c>
      <c r="H36" s="8"/>
      <c r="I36" s="8"/>
      <c r="J36" s="8"/>
      <c r="K36" s="8"/>
      <c r="L36" s="8"/>
      <c r="M36" s="7"/>
    </row>
    <row r="37" spans="1:13" ht="12.75">
      <c r="A37" t="s">
        <v>53</v>
      </c>
      <c r="B37" t="s">
        <v>21</v>
      </c>
      <c r="C37" s="7" t="s">
        <v>48</v>
      </c>
      <c r="D37" s="17">
        <f>55.276/12</f>
        <v>4.606333333333334</v>
      </c>
      <c r="E37" s="17">
        <f>55.955/12</f>
        <v>4.662916666666667</v>
      </c>
      <c r="F37" s="17">
        <f>59.684/12</f>
        <v>4.9736666666666665</v>
      </c>
      <c r="G37" s="17">
        <f t="shared" si="2"/>
        <v>5.0302500000000006</v>
      </c>
      <c r="H37" s="8"/>
      <c r="I37" s="8"/>
      <c r="J37" s="8"/>
      <c r="K37" s="8"/>
      <c r="L37" s="8"/>
      <c r="M37" s="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spans="3:6" ht="12.75">
      <c r="C2" t="s">
        <v>1</v>
      </c>
      <c r="D2" t="s">
        <v>2</v>
      </c>
      <c r="E2" t="s">
        <v>3</v>
      </c>
      <c r="F2" s="2" t="s">
        <v>4</v>
      </c>
    </row>
    <row r="3" spans="1:6" ht="12.75">
      <c r="A3" t="s">
        <v>5</v>
      </c>
      <c r="B3" t="s">
        <v>4</v>
      </c>
      <c r="C3" s="1" t="e">
        <f>WP1!#REF!</f>
        <v>#REF!</v>
      </c>
      <c r="D3" s="1" t="e">
        <f>WP1!#REF!</f>
        <v>#REF!</v>
      </c>
      <c r="E3" s="1" t="e">
        <f>WP1!#REF!</f>
        <v>#REF!</v>
      </c>
      <c r="F3" s="1" t="e">
        <f>SUM(C3:E3)</f>
        <v>#REF!</v>
      </c>
    </row>
    <row r="4" spans="1:6" ht="12.75">
      <c r="A4" t="s">
        <v>6</v>
      </c>
      <c r="B4" t="s">
        <v>4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SUM(C4:E4)</f>
        <v>#REF!</v>
      </c>
    </row>
    <row r="5" spans="1:6" ht="12.75">
      <c r="A5" t="s">
        <v>7</v>
      </c>
      <c r="B5" t="s">
        <v>4</v>
      </c>
      <c r="C5" s="1" t="e">
        <f>WP3!#REF!</f>
        <v>#REF!</v>
      </c>
      <c r="D5" s="1" t="e">
        <f>WP3!#REF!</f>
        <v>#REF!</v>
      </c>
      <c r="E5" s="1" t="e">
        <f>WP3!#REF!</f>
        <v>#REF!</v>
      </c>
      <c r="F5" s="1" t="e">
        <f>SUM(C5:E5)</f>
        <v>#REF!</v>
      </c>
    </row>
    <row r="6" spans="1:6" ht="12.75">
      <c r="A6" t="s">
        <v>8</v>
      </c>
      <c r="B6" t="s">
        <v>4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SUM(C6:E6)</f>
        <v>#REF!</v>
      </c>
    </row>
    <row r="7" spans="1:6" ht="12.75">
      <c r="A7" t="s">
        <v>10</v>
      </c>
      <c r="B7" t="s">
        <v>4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SUM(C7:E7)</f>
        <v>#REF!</v>
      </c>
    </row>
    <row r="8" spans="1:6" ht="12.75">
      <c r="A8" t="s">
        <v>4</v>
      </c>
      <c r="C8" s="1" t="e">
        <f>SUM(C3:C7)</f>
        <v>#REF!</v>
      </c>
      <c r="D8" s="1" t="e">
        <f>SUM(D3:D7)</f>
        <v>#REF!</v>
      </c>
      <c r="E8" s="1" t="e">
        <f>SUM(E3:E7)</f>
        <v>#REF!</v>
      </c>
      <c r="F8" s="1" t="e">
        <f>SUM(F3:F7)</f>
        <v>#REF!</v>
      </c>
    </row>
    <row r="11" spans="1:5" ht="12.75">
      <c r="A11" t="s">
        <v>179</v>
      </c>
      <c r="B11">
        <v>1</v>
      </c>
      <c r="C11">
        <v>1.0275</v>
      </c>
      <c r="D11">
        <v>1.056</v>
      </c>
      <c r="E11">
        <v>1.085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workbookViewId="0" topLeftCell="C35">
      <selection activeCell="A1" sqref="A1"/>
    </sheetView>
  </sheetViews>
  <sheetFormatPr defaultColWidth="9.140625" defaultRowHeight="12.75"/>
  <cols>
    <col min="1" max="1" width="18.140625" style="0" customWidth="1"/>
    <col min="2" max="2" width="16.57421875" style="0" customWidth="1"/>
    <col min="3" max="3" width="11.28125" style="0" customWidth="1"/>
    <col min="4" max="4" width="7.7109375" style="0" customWidth="1"/>
    <col min="5" max="5" width="7.7109375" style="2" customWidth="1"/>
    <col min="6" max="18" width="7.7109375" style="0" customWidth="1"/>
  </cols>
  <sheetData>
    <row r="1" spans="1:19" ht="12.75">
      <c r="A1" t="s">
        <v>39</v>
      </c>
      <c r="D1" s="2"/>
      <c r="F1" s="2" t="s">
        <v>1</v>
      </c>
      <c r="G1" s="2"/>
      <c r="I1" s="2" t="s">
        <v>2</v>
      </c>
      <c r="J1" s="2"/>
      <c r="L1" s="2" t="s">
        <v>3</v>
      </c>
      <c r="M1" s="2"/>
      <c r="O1" s="2" t="s">
        <v>176</v>
      </c>
      <c r="P1" s="2" t="s">
        <v>4</v>
      </c>
      <c r="Q1" s="2" t="s">
        <v>4</v>
      </c>
      <c r="R1" s="13" t="s">
        <v>95</v>
      </c>
      <c r="S1" s="2" t="s">
        <v>147</v>
      </c>
    </row>
    <row r="2" ht="12.75">
      <c r="A2" s="6" t="s">
        <v>180</v>
      </c>
    </row>
    <row r="3" spans="1:19" ht="12.75">
      <c r="A3" t="s">
        <v>0</v>
      </c>
      <c r="B3" t="s">
        <v>22</v>
      </c>
      <c r="C3" s="7" t="s">
        <v>11</v>
      </c>
      <c r="D3" s="10" t="s">
        <v>177</v>
      </c>
      <c r="E3" s="14" t="s">
        <v>9</v>
      </c>
      <c r="F3" s="14" t="s">
        <v>178</v>
      </c>
      <c r="G3" s="10" t="s">
        <v>177</v>
      </c>
      <c r="H3" s="14" t="s">
        <v>9</v>
      </c>
      <c r="I3" s="14" t="s">
        <v>178</v>
      </c>
      <c r="J3" s="10" t="s">
        <v>177</v>
      </c>
      <c r="K3" s="14" t="s">
        <v>9</v>
      </c>
      <c r="L3" s="14" t="s">
        <v>178</v>
      </c>
      <c r="M3" s="10" t="s">
        <v>177</v>
      </c>
      <c r="N3" s="14" t="s">
        <v>9</v>
      </c>
      <c r="O3" s="14" t="s">
        <v>178</v>
      </c>
      <c r="P3" s="10" t="s">
        <v>177</v>
      </c>
      <c r="Q3" s="14" t="s">
        <v>9</v>
      </c>
      <c r="R3" s="14" t="s">
        <v>178</v>
      </c>
      <c r="S3" s="7"/>
    </row>
    <row r="4" spans="1:19" ht="12.75">
      <c r="A4" s="7" t="s">
        <v>99</v>
      </c>
      <c r="B4" s="7" t="s">
        <v>23</v>
      </c>
      <c r="C4" s="7" t="s">
        <v>14</v>
      </c>
      <c r="D4" s="8">
        <v>0</v>
      </c>
      <c r="E4" s="15">
        <f>D4*Staff!$D$7</f>
        <v>0</v>
      </c>
      <c r="F4" s="8">
        <f>E4</f>
        <v>0</v>
      </c>
      <c r="G4" s="8">
        <v>1</v>
      </c>
      <c r="H4" s="15">
        <f>G4*Staff!$E$7</f>
        <v>3.893698333333333</v>
      </c>
      <c r="I4" s="8">
        <f>Totals!$C$11*H4</f>
        <v>4.0007750375</v>
      </c>
      <c r="J4" s="8">
        <v>2</v>
      </c>
      <c r="K4" s="15">
        <f>J4*Staff!$F$7</f>
        <v>7.999096666666666</v>
      </c>
      <c r="L4" s="8">
        <f>Totals!$D$11*K4</f>
        <v>8.44704608</v>
      </c>
      <c r="M4" s="8">
        <v>2</v>
      </c>
      <c r="N4" s="15">
        <f>M4*Staff!$G$7</f>
        <v>8.204713333333334</v>
      </c>
      <c r="O4" s="8">
        <f>Totals!$E$11*N4</f>
        <v>8.902113966666667</v>
      </c>
      <c r="P4" s="8">
        <f aca="true" t="shared" si="0" ref="P4:R7">D4+G4+J4+M4</f>
        <v>5</v>
      </c>
      <c r="Q4" s="8">
        <f t="shared" si="0"/>
        <v>20.097508333333334</v>
      </c>
      <c r="R4" s="8">
        <f t="shared" si="0"/>
        <v>21.349935084166667</v>
      </c>
      <c r="S4" s="7"/>
    </row>
    <row r="5" spans="1:18" s="7" customFormat="1" ht="12.75">
      <c r="A5" t="s">
        <v>117</v>
      </c>
      <c r="B5" t="s">
        <v>23</v>
      </c>
      <c r="C5" s="7" t="s">
        <v>50</v>
      </c>
      <c r="D5" s="8">
        <v>0</v>
      </c>
      <c r="E5" s="15">
        <f>D5*Staff!$D$13</f>
        <v>0</v>
      </c>
      <c r="F5" s="8">
        <f>E5</f>
        <v>0</v>
      </c>
      <c r="G5" s="8">
        <v>0</v>
      </c>
      <c r="H5" s="15">
        <f>G5*Staff!$E$13</f>
        <v>0</v>
      </c>
      <c r="I5" s="8">
        <f>Totals!$C$11*H5</f>
        <v>0</v>
      </c>
      <c r="J5" s="8">
        <v>6</v>
      </c>
      <c r="K5" s="15">
        <f>J5*Staff!$F$13</f>
        <v>22.14626168224299</v>
      </c>
      <c r="L5" s="8">
        <f>Totals!$D$11*K5</f>
        <v>23.3864523364486</v>
      </c>
      <c r="M5" s="8">
        <v>6</v>
      </c>
      <c r="N5" s="15">
        <f>M5*Staff!$G$13</f>
        <v>22.720542688157476</v>
      </c>
      <c r="O5" s="8">
        <f>Totals!$E$11*N5</f>
        <v>24.65178881665086</v>
      </c>
      <c r="P5" s="8">
        <f t="shared" si="0"/>
        <v>12</v>
      </c>
      <c r="Q5" s="8">
        <f t="shared" si="0"/>
        <v>44.866804370400466</v>
      </c>
      <c r="R5" s="8">
        <f t="shared" si="0"/>
        <v>48.03824115309946</v>
      </c>
    </row>
    <row r="6" spans="1:19" ht="12.75">
      <c r="A6" t="s">
        <v>100</v>
      </c>
      <c r="B6" t="s">
        <v>23</v>
      </c>
      <c r="C6" s="7" t="s">
        <v>48</v>
      </c>
      <c r="D6" s="8">
        <v>0</v>
      </c>
      <c r="E6" s="15">
        <f>D6*Staff!$D$14</f>
        <v>0</v>
      </c>
      <c r="F6" s="8">
        <f>E6</f>
        <v>0</v>
      </c>
      <c r="G6" s="8">
        <v>7</v>
      </c>
      <c r="H6" s="15">
        <f>G6*Staff!$E$14</f>
        <v>25.666666666666664</v>
      </c>
      <c r="I6" s="8">
        <f>Totals!$C$11*H6</f>
        <v>26.3725</v>
      </c>
      <c r="J6" s="8">
        <v>7</v>
      </c>
      <c r="K6" s="15">
        <f>J6*Staff!$F$14</f>
        <v>26.833333333333336</v>
      </c>
      <c r="L6" s="8">
        <f>Totals!$D$11*K6</f>
        <v>28.336000000000002</v>
      </c>
      <c r="M6" s="8">
        <v>5</v>
      </c>
      <c r="N6" s="15">
        <f>M6*Staff!$G$14</f>
        <v>19.791666666666668</v>
      </c>
      <c r="O6" s="8">
        <f>Totals!$E$11*N6</f>
        <v>21.473958333333332</v>
      </c>
      <c r="P6" s="8">
        <f t="shared" si="0"/>
        <v>19</v>
      </c>
      <c r="Q6" s="8">
        <f t="shared" si="0"/>
        <v>72.29166666666667</v>
      </c>
      <c r="R6" s="8">
        <f t="shared" si="0"/>
        <v>76.18245833333333</v>
      </c>
      <c r="S6" s="7"/>
    </row>
    <row r="7" spans="3:19" ht="12.75">
      <c r="C7" s="7" t="s">
        <v>29</v>
      </c>
      <c r="D7" s="8">
        <f aca="true" t="shared" si="1" ref="D7:O7">SUM(D4:D6)</f>
        <v>0</v>
      </c>
      <c r="E7" s="15">
        <f t="shared" si="1"/>
        <v>0</v>
      </c>
      <c r="F7" s="15">
        <f t="shared" si="1"/>
        <v>0</v>
      </c>
      <c r="G7" s="8">
        <f t="shared" si="1"/>
        <v>8</v>
      </c>
      <c r="H7" s="8">
        <f t="shared" si="1"/>
        <v>29.560364999999997</v>
      </c>
      <c r="I7" s="15">
        <f t="shared" si="1"/>
        <v>30.3732750375</v>
      </c>
      <c r="J7" s="8">
        <f t="shared" si="1"/>
        <v>15</v>
      </c>
      <c r="K7" s="8">
        <f t="shared" si="1"/>
        <v>56.978691682242996</v>
      </c>
      <c r="L7" s="15">
        <f t="shared" si="1"/>
        <v>60.169498416448604</v>
      </c>
      <c r="M7" s="8">
        <f t="shared" si="1"/>
        <v>13</v>
      </c>
      <c r="N7" s="8">
        <f t="shared" si="1"/>
        <v>50.71692268815748</v>
      </c>
      <c r="O7" s="15">
        <f t="shared" si="1"/>
        <v>55.027861116650854</v>
      </c>
      <c r="P7" s="8">
        <f t="shared" si="0"/>
        <v>36</v>
      </c>
      <c r="Q7" s="8">
        <f t="shared" si="0"/>
        <v>137.2559793704005</v>
      </c>
      <c r="R7" s="8">
        <f t="shared" si="0"/>
        <v>145.57063457059945</v>
      </c>
      <c r="S7" s="7"/>
    </row>
    <row r="8" spans="3:19" ht="12.75">
      <c r="C8" s="7"/>
      <c r="D8" s="9"/>
      <c r="E8" s="15"/>
      <c r="F8" s="8"/>
      <c r="G8" s="9"/>
      <c r="H8" s="8"/>
      <c r="I8" s="8"/>
      <c r="J8" s="9"/>
      <c r="K8" s="8"/>
      <c r="L8" s="8"/>
      <c r="M8" s="9"/>
      <c r="N8" s="8"/>
      <c r="O8" s="8"/>
      <c r="P8" s="9"/>
      <c r="Q8" s="7"/>
      <c r="R8" s="7"/>
      <c r="S8" s="7"/>
    </row>
    <row r="9" spans="1:19" ht="12.75">
      <c r="A9" s="6" t="s">
        <v>17</v>
      </c>
      <c r="C9" s="7"/>
      <c r="D9" s="7"/>
      <c r="E9" s="10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>
      <c r="A10" s="7" t="s">
        <v>52</v>
      </c>
      <c r="C10" s="7"/>
      <c r="D10" s="7"/>
      <c r="E10" s="7">
        <v>0</v>
      </c>
      <c r="F10" s="8">
        <f aca="true" t="shared" si="2" ref="F10:F23">E10</f>
        <v>0</v>
      </c>
      <c r="G10" s="7"/>
      <c r="H10" s="7">
        <v>0</v>
      </c>
      <c r="I10" s="8">
        <f>Totals!$C$11*H10</f>
        <v>0</v>
      </c>
      <c r="J10" s="7"/>
      <c r="K10" s="7">
        <v>6</v>
      </c>
      <c r="L10" s="8">
        <f>Totals!$D$11*K10</f>
        <v>6.336</v>
      </c>
      <c r="M10" s="7"/>
      <c r="N10" s="7">
        <v>0</v>
      </c>
      <c r="O10" s="8">
        <f>Totals!$E$11*N10</f>
        <v>0</v>
      </c>
      <c r="P10" s="7"/>
      <c r="Q10" s="8">
        <f>E10+H10+K10+N10</f>
        <v>6</v>
      </c>
      <c r="R10" s="8">
        <f aca="true" t="shared" si="3" ref="R10:R24">F10+I10+L10+O10</f>
        <v>6.336</v>
      </c>
      <c r="S10" s="7"/>
    </row>
    <row r="11" spans="1:19" ht="12.75">
      <c r="A11" s="7" t="s">
        <v>166</v>
      </c>
      <c r="C11" s="7"/>
      <c r="D11" s="7"/>
      <c r="E11" s="7">
        <v>4</v>
      </c>
      <c r="F11" s="8">
        <f t="shared" si="2"/>
        <v>4</v>
      </c>
      <c r="G11" s="7"/>
      <c r="H11" s="7">
        <v>0</v>
      </c>
      <c r="I11" s="8">
        <f>Totals!$C$11*H11</f>
        <v>0</v>
      </c>
      <c r="J11" s="7"/>
      <c r="K11" s="7">
        <v>0</v>
      </c>
      <c r="L11" s="8">
        <f>Totals!$D$11*K11</f>
        <v>0</v>
      </c>
      <c r="M11" s="7"/>
      <c r="N11" s="7">
        <v>0</v>
      </c>
      <c r="O11" s="8">
        <f>Totals!$E$11*N11</f>
        <v>0</v>
      </c>
      <c r="P11" s="7"/>
      <c r="Q11" s="8">
        <f aca="true" t="shared" si="4" ref="Q11:Q23">E11+H11+K11+N11</f>
        <v>4</v>
      </c>
      <c r="R11" s="8">
        <f t="shared" si="3"/>
        <v>4</v>
      </c>
      <c r="S11" s="7"/>
    </row>
    <row r="12" spans="1:19" ht="12.75">
      <c r="A12" s="7" t="s">
        <v>170</v>
      </c>
      <c r="C12" s="7"/>
      <c r="D12" s="7"/>
      <c r="E12" s="7">
        <v>4</v>
      </c>
      <c r="F12" s="8">
        <f t="shared" si="2"/>
        <v>4</v>
      </c>
      <c r="G12" s="7"/>
      <c r="H12" s="7">
        <v>0</v>
      </c>
      <c r="I12" s="8">
        <f>Totals!$C$11*H12</f>
        <v>0</v>
      </c>
      <c r="J12" s="7"/>
      <c r="K12" s="7">
        <v>0</v>
      </c>
      <c r="L12" s="8">
        <f>Totals!$D$11*K12</f>
        <v>0</v>
      </c>
      <c r="M12" s="7"/>
      <c r="N12" s="7">
        <v>0</v>
      </c>
      <c r="O12" s="8">
        <f>Totals!$E$11*N12</f>
        <v>0</v>
      </c>
      <c r="P12" s="7"/>
      <c r="Q12" s="8">
        <f t="shared" si="4"/>
        <v>4</v>
      </c>
      <c r="R12" s="8">
        <f t="shared" si="3"/>
        <v>4</v>
      </c>
      <c r="S12" s="7"/>
    </row>
    <row r="13" spans="1:19" ht="12.75">
      <c r="A13" s="7" t="s">
        <v>167</v>
      </c>
      <c r="C13" s="7"/>
      <c r="D13" s="7"/>
      <c r="E13" s="7">
        <v>0</v>
      </c>
      <c r="F13" s="8">
        <f t="shared" si="2"/>
        <v>0</v>
      </c>
      <c r="G13" s="7"/>
      <c r="H13" s="7">
        <v>6</v>
      </c>
      <c r="I13" s="8">
        <f>Totals!$C$11*H13</f>
        <v>6.165000000000001</v>
      </c>
      <c r="J13" s="7"/>
      <c r="K13" s="7">
        <v>0</v>
      </c>
      <c r="L13" s="8">
        <f>Totals!$D$11*K13</f>
        <v>0</v>
      </c>
      <c r="M13" s="7"/>
      <c r="N13" s="7">
        <v>0</v>
      </c>
      <c r="O13" s="8">
        <f>Totals!$E$11*N13</f>
        <v>0</v>
      </c>
      <c r="P13" s="7"/>
      <c r="Q13" s="8">
        <f t="shared" si="4"/>
        <v>6</v>
      </c>
      <c r="R13" s="8">
        <f t="shared" si="3"/>
        <v>6.165000000000001</v>
      </c>
      <c r="S13" s="7"/>
    </row>
    <row r="14" spans="1:19" ht="12.75">
      <c r="A14" s="7" t="s">
        <v>168</v>
      </c>
      <c r="C14" s="7"/>
      <c r="D14" s="7"/>
      <c r="E14" s="7">
        <v>0</v>
      </c>
      <c r="F14" s="8">
        <f t="shared" si="2"/>
        <v>0</v>
      </c>
      <c r="G14" s="7"/>
      <c r="H14" s="7">
        <v>0</v>
      </c>
      <c r="I14" s="8">
        <f>Totals!$C$11*H14</f>
        <v>0</v>
      </c>
      <c r="J14" s="7"/>
      <c r="K14" s="7">
        <v>6</v>
      </c>
      <c r="L14" s="8">
        <f>Totals!$D$11*K14</f>
        <v>6.336</v>
      </c>
      <c r="M14" s="7"/>
      <c r="N14" s="7">
        <v>0</v>
      </c>
      <c r="O14" s="8">
        <f>Totals!$E$11*N14</f>
        <v>0</v>
      </c>
      <c r="P14" s="7"/>
      <c r="Q14" s="8">
        <f t="shared" si="4"/>
        <v>6</v>
      </c>
      <c r="R14" s="8">
        <f t="shared" si="3"/>
        <v>6.336</v>
      </c>
      <c r="S14" s="7"/>
    </row>
    <row r="15" spans="1:19" ht="12.75">
      <c r="A15" s="7" t="s">
        <v>169</v>
      </c>
      <c r="C15" s="7"/>
      <c r="D15" s="7"/>
      <c r="E15" s="7">
        <v>0</v>
      </c>
      <c r="F15" s="8">
        <f t="shared" si="2"/>
        <v>0</v>
      </c>
      <c r="G15" s="7"/>
      <c r="H15" s="7">
        <v>0</v>
      </c>
      <c r="I15" s="8">
        <f>Totals!$C$11*H15</f>
        <v>0</v>
      </c>
      <c r="J15" s="7"/>
      <c r="K15" s="7">
        <v>6</v>
      </c>
      <c r="L15" s="8">
        <f>Totals!$D$11*K15</f>
        <v>6.336</v>
      </c>
      <c r="M15" s="7"/>
      <c r="N15" s="7">
        <v>6</v>
      </c>
      <c r="O15" s="8">
        <f>Totals!$E$11*N15</f>
        <v>6.51</v>
      </c>
      <c r="P15" s="7"/>
      <c r="Q15" s="8">
        <f t="shared" si="4"/>
        <v>12</v>
      </c>
      <c r="R15" s="8">
        <f t="shared" si="3"/>
        <v>12.846</v>
      </c>
      <c r="S15" s="7"/>
    </row>
    <row r="16" spans="1:19" ht="12.75">
      <c r="A16" s="7" t="s">
        <v>66</v>
      </c>
      <c r="C16" s="7"/>
      <c r="D16" s="7"/>
      <c r="E16" s="7">
        <v>0</v>
      </c>
      <c r="F16" s="8">
        <f t="shared" si="2"/>
        <v>0</v>
      </c>
      <c r="G16" s="7"/>
      <c r="H16" s="7">
        <v>11</v>
      </c>
      <c r="I16" s="8">
        <f>Totals!$C$11*H16</f>
        <v>11.3025</v>
      </c>
      <c r="J16" s="7"/>
      <c r="K16" s="7">
        <v>0</v>
      </c>
      <c r="L16" s="8">
        <f>Totals!$D$11*K16</f>
        <v>0</v>
      </c>
      <c r="M16" s="7"/>
      <c r="N16" s="7">
        <v>0</v>
      </c>
      <c r="O16" s="8">
        <f>Totals!$E$11*N16</f>
        <v>0</v>
      </c>
      <c r="P16" s="7"/>
      <c r="Q16" s="8">
        <f t="shared" si="4"/>
        <v>11</v>
      </c>
      <c r="R16" s="8">
        <f t="shared" si="3"/>
        <v>11.3025</v>
      </c>
      <c r="S16" s="7"/>
    </row>
    <row r="17" spans="1:19" ht="12.75">
      <c r="A17" s="7" t="s">
        <v>67</v>
      </c>
      <c r="C17" s="7"/>
      <c r="D17" s="7"/>
      <c r="E17" s="7">
        <v>0</v>
      </c>
      <c r="F17" s="8">
        <f t="shared" si="2"/>
        <v>0</v>
      </c>
      <c r="G17" s="7"/>
      <c r="H17" s="7">
        <v>6</v>
      </c>
      <c r="I17" s="8">
        <f>Totals!$C$11*H17</f>
        <v>6.165000000000001</v>
      </c>
      <c r="J17" s="7"/>
      <c r="K17" s="7">
        <v>0</v>
      </c>
      <c r="L17" s="8">
        <f>Totals!$D$11*K17</f>
        <v>0</v>
      </c>
      <c r="M17" s="7"/>
      <c r="N17" s="7">
        <v>0</v>
      </c>
      <c r="O17" s="8">
        <f>Totals!$E$11*N17</f>
        <v>0</v>
      </c>
      <c r="P17" s="7"/>
      <c r="Q17" s="8">
        <f t="shared" si="4"/>
        <v>6</v>
      </c>
      <c r="R17" s="8">
        <f t="shared" si="3"/>
        <v>6.165000000000001</v>
      </c>
      <c r="S17" s="7" t="s">
        <v>148</v>
      </c>
    </row>
    <row r="18" spans="1:19" ht="12.75">
      <c r="A18" s="7" t="s">
        <v>68</v>
      </c>
      <c r="C18" s="7"/>
      <c r="D18" s="7"/>
      <c r="E18" s="7">
        <v>0</v>
      </c>
      <c r="F18" s="8">
        <f t="shared" si="2"/>
        <v>0</v>
      </c>
      <c r="G18" s="7"/>
      <c r="H18" s="7">
        <v>0</v>
      </c>
      <c r="I18" s="8">
        <f>Totals!$C$11*H18</f>
        <v>0</v>
      </c>
      <c r="J18" s="7"/>
      <c r="K18" s="7">
        <v>11</v>
      </c>
      <c r="L18" s="8">
        <f>Totals!$D$11*K18</f>
        <v>11.616</v>
      </c>
      <c r="M18" s="7"/>
      <c r="N18" s="7">
        <v>0</v>
      </c>
      <c r="O18" s="8">
        <f>Totals!$E$11*N18</f>
        <v>0</v>
      </c>
      <c r="P18" s="7"/>
      <c r="Q18" s="8">
        <f t="shared" si="4"/>
        <v>11</v>
      </c>
      <c r="R18" s="8">
        <f t="shared" si="3"/>
        <v>11.616</v>
      </c>
      <c r="S18" s="7"/>
    </row>
    <row r="19" spans="1:19" ht="12.75">
      <c r="A19" s="7" t="s">
        <v>69</v>
      </c>
      <c r="C19" s="7"/>
      <c r="D19" s="7"/>
      <c r="E19" s="7">
        <v>0</v>
      </c>
      <c r="F19" s="8">
        <f t="shared" si="2"/>
        <v>0</v>
      </c>
      <c r="G19" s="7"/>
      <c r="H19" s="7">
        <v>0</v>
      </c>
      <c r="I19" s="8">
        <f>Totals!$C$11*H19</f>
        <v>0</v>
      </c>
      <c r="J19" s="7"/>
      <c r="K19" s="7">
        <v>9</v>
      </c>
      <c r="L19" s="8">
        <f>Totals!$D$11*K19</f>
        <v>9.504000000000001</v>
      </c>
      <c r="M19" s="7"/>
      <c r="N19" s="7">
        <v>9</v>
      </c>
      <c r="O19" s="8">
        <f>Totals!$E$11*N19</f>
        <v>9.765</v>
      </c>
      <c r="P19" s="7"/>
      <c r="Q19" s="8">
        <f t="shared" si="4"/>
        <v>18</v>
      </c>
      <c r="R19" s="8">
        <f t="shared" si="3"/>
        <v>19.269000000000002</v>
      </c>
      <c r="S19" s="7" t="s">
        <v>149</v>
      </c>
    </row>
    <row r="20" spans="1:19" ht="12.75">
      <c r="A20" s="7" t="s">
        <v>70</v>
      </c>
      <c r="C20" s="7"/>
      <c r="D20" s="7"/>
      <c r="E20" s="7">
        <v>0</v>
      </c>
      <c r="F20" s="8">
        <f t="shared" si="2"/>
        <v>0</v>
      </c>
      <c r="G20" s="7"/>
      <c r="H20" s="7">
        <v>0</v>
      </c>
      <c r="I20" s="8">
        <f>Totals!$C$11*H20</f>
        <v>0</v>
      </c>
      <c r="J20" s="7"/>
      <c r="K20" s="7">
        <v>6</v>
      </c>
      <c r="L20" s="8">
        <f>Totals!$D$11*K20</f>
        <v>6.336</v>
      </c>
      <c r="M20" s="7"/>
      <c r="N20" s="7">
        <v>0</v>
      </c>
      <c r="O20" s="8">
        <f>Totals!$E$11*N20</f>
        <v>0</v>
      </c>
      <c r="P20" s="7"/>
      <c r="Q20" s="8">
        <f t="shared" si="4"/>
        <v>6</v>
      </c>
      <c r="R20" s="8">
        <f t="shared" si="3"/>
        <v>6.336</v>
      </c>
      <c r="S20" s="7" t="s">
        <v>151</v>
      </c>
    </row>
    <row r="21" spans="1:19" ht="12.75">
      <c r="A21" s="7" t="s">
        <v>76</v>
      </c>
      <c r="C21" s="7"/>
      <c r="D21" s="7"/>
      <c r="E21" s="7">
        <v>3</v>
      </c>
      <c r="F21" s="8">
        <f t="shared" si="2"/>
        <v>3</v>
      </c>
      <c r="G21" s="7"/>
      <c r="H21" s="7">
        <v>3</v>
      </c>
      <c r="I21" s="8">
        <f>Totals!$C$11*H21</f>
        <v>3.0825000000000005</v>
      </c>
      <c r="J21" s="7"/>
      <c r="K21" s="7">
        <v>0</v>
      </c>
      <c r="L21" s="8">
        <f>Totals!$D$11*K21</f>
        <v>0</v>
      </c>
      <c r="M21" s="7"/>
      <c r="N21" s="7">
        <v>0</v>
      </c>
      <c r="O21" s="8">
        <f>Totals!$E$11*N21</f>
        <v>0</v>
      </c>
      <c r="P21" s="7"/>
      <c r="Q21" s="8">
        <f t="shared" si="4"/>
        <v>6</v>
      </c>
      <c r="R21" s="8">
        <f t="shared" si="3"/>
        <v>6.0825000000000005</v>
      </c>
      <c r="S21" s="7"/>
    </row>
    <row r="22" spans="1:19" ht="12.75">
      <c r="A22" s="7" t="s">
        <v>77</v>
      </c>
      <c r="C22" s="7"/>
      <c r="D22" s="7"/>
      <c r="E22" s="7">
        <v>0</v>
      </c>
      <c r="F22" s="8">
        <f t="shared" si="2"/>
        <v>0</v>
      </c>
      <c r="G22" s="7" t="s">
        <v>19</v>
      </c>
      <c r="H22" s="7">
        <v>10</v>
      </c>
      <c r="I22" s="8">
        <f>Totals!$C$11*H22</f>
        <v>10.275</v>
      </c>
      <c r="J22" s="7"/>
      <c r="K22" s="7">
        <v>0</v>
      </c>
      <c r="L22" s="8">
        <f>Totals!$D$11*K22</f>
        <v>0</v>
      </c>
      <c r="M22" s="7"/>
      <c r="N22" s="7">
        <v>0</v>
      </c>
      <c r="O22" s="8">
        <f>Totals!$E$11*N22</f>
        <v>0</v>
      </c>
      <c r="P22" s="7"/>
      <c r="Q22" s="8">
        <f t="shared" si="4"/>
        <v>10</v>
      </c>
      <c r="R22" s="8">
        <f t="shared" si="3"/>
        <v>10.275</v>
      </c>
      <c r="S22" s="7" t="s">
        <v>148</v>
      </c>
    </row>
    <row r="23" spans="1:19" ht="12.75">
      <c r="A23" s="7" t="s">
        <v>78</v>
      </c>
      <c r="C23" s="7"/>
      <c r="D23" s="7"/>
      <c r="E23" s="7">
        <v>0</v>
      </c>
      <c r="F23" s="8">
        <f t="shared" si="2"/>
        <v>0</v>
      </c>
      <c r="G23" s="7"/>
      <c r="H23" s="7">
        <v>0</v>
      </c>
      <c r="I23" s="8">
        <f>Totals!$C$11*H23</f>
        <v>0</v>
      </c>
      <c r="J23" s="7"/>
      <c r="K23" s="7">
        <v>7</v>
      </c>
      <c r="L23" s="8">
        <f>Totals!$D$11*K23</f>
        <v>7.392</v>
      </c>
      <c r="M23" s="7"/>
      <c r="N23" s="7">
        <v>0</v>
      </c>
      <c r="O23" s="8">
        <f>Totals!$E$11*N23</f>
        <v>0</v>
      </c>
      <c r="P23" s="7"/>
      <c r="Q23" s="8">
        <f t="shared" si="4"/>
        <v>7</v>
      </c>
      <c r="R23" s="8">
        <f t="shared" si="3"/>
        <v>7.392</v>
      </c>
      <c r="S23" s="7"/>
    </row>
    <row r="24" spans="1:19" ht="12.75">
      <c r="A24" s="7"/>
      <c r="C24" s="7" t="s">
        <v>28</v>
      </c>
      <c r="D24" s="7"/>
      <c r="E24" s="15">
        <f>SUM(E10:E23)</f>
        <v>11</v>
      </c>
      <c r="F24" s="15">
        <f>SUM(F10:F23)</f>
        <v>11</v>
      </c>
      <c r="G24" s="8"/>
      <c r="H24" s="15">
        <f>SUM(H10:H23)</f>
        <v>36</v>
      </c>
      <c r="I24" s="15">
        <f>SUM(I10:I23)</f>
        <v>36.99</v>
      </c>
      <c r="J24" s="8"/>
      <c r="K24" s="8">
        <f>SUM(K10:K23)</f>
        <v>51</v>
      </c>
      <c r="L24" s="15">
        <f>SUM(L10:L23)</f>
        <v>53.856</v>
      </c>
      <c r="M24" s="8"/>
      <c r="N24" s="8">
        <f>SUM(N10:N23)</f>
        <v>15</v>
      </c>
      <c r="O24" s="15">
        <f>SUM(O10:O23)</f>
        <v>16.275</v>
      </c>
      <c r="P24" s="8"/>
      <c r="Q24" s="8">
        <f>E24+H24+K24+N24</f>
        <v>113</v>
      </c>
      <c r="R24" s="8">
        <f t="shared" si="3"/>
        <v>118.12100000000001</v>
      </c>
      <c r="S24" s="7"/>
    </row>
    <row r="25" spans="1:19" ht="12.75">
      <c r="A25" s="7"/>
      <c r="C25" s="7"/>
      <c r="D25" s="7"/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  <c r="R25" s="7"/>
      <c r="S25" s="7"/>
    </row>
    <row r="26" spans="1:19" ht="12.75">
      <c r="A26" s="6" t="s">
        <v>30</v>
      </c>
      <c r="C26" s="7"/>
      <c r="D26" s="7"/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7"/>
      <c r="S26" s="7"/>
    </row>
    <row r="27" spans="1:19" ht="12.75">
      <c r="A27" s="7" t="s">
        <v>57</v>
      </c>
      <c r="C27" s="7"/>
      <c r="D27" s="7"/>
      <c r="E27" s="7">
        <v>0</v>
      </c>
      <c r="F27" s="8">
        <f aca="true" t="shared" si="5" ref="F27:F38">E27</f>
        <v>0</v>
      </c>
      <c r="G27" s="7"/>
      <c r="H27" s="7">
        <v>2</v>
      </c>
      <c r="I27" s="8">
        <f>Totals!$C$11*H27</f>
        <v>2.055</v>
      </c>
      <c r="J27" s="7"/>
      <c r="K27" s="7">
        <v>0</v>
      </c>
      <c r="L27" s="8">
        <f>Totals!$D$11*K27</f>
        <v>0</v>
      </c>
      <c r="M27" s="7"/>
      <c r="N27" s="7">
        <v>0</v>
      </c>
      <c r="O27" s="8">
        <f>Totals!$E$11*N27</f>
        <v>0</v>
      </c>
      <c r="P27" s="7"/>
      <c r="Q27" s="8">
        <f aca="true" t="shared" si="6" ref="Q27:R39">E27+H27+K27+N27</f>
        <v>2</v>
      </c>
      <c r="R27" s="8">
        <f t="shared" si="6"/>
        <v>2.055</v>
      </c>
      <c r="S27" s="7"/>
    </row>
    <row r="28" spans="1:19" ht="12.75">
      <c r="A28" s="7" t="s">
        <v>58</v>
      </c>
      <c r="C28" s="7"/>
      <c r="D28" s="7"/>
      <c r="E28" s="7">
        <v>0</v>
      </c>
      <c r="F28" s="8">
        <f t="shared" si="5"/>
        <v>0</v>
      </c>
      <c r="G28" s="7"/>
      <c r="H28" s="7">
        <v>1</v>
      </c>
      <c r="I28" s="8">
        <f>Totals!$C$11*H28</f>
        <v>1.0275</v>
      </c>
      <c r="J28" s="7"/>
      <c r="K28" s="7">
        <v>0</v>
      </c>
      <c r="L28" s="8">
        <f>Totals!$D$11*K28</f>
        <v>0</v>
      </c>
      <c r="M28" s="7"/>
      <c r="N28" s="7">
        <v>0</v>
      </c>
      <c r="O28" s="8">
        <f>Totals!$E$11*N28</f>
        <v>0</v>
      </c>
      <c r="P28" s="7"/>
      <c r="Q28" s="8">
        <f t="shared" si="6"/>
        <v>1</v>
      </c>
      <c r="R28" s="8">
        <f t="shared" si="6"/>
        <v>1.0275</v>
      </c>
      <c r="S28" s="7" t="s">
        <v>150</v>
      </c>
    </row>
    <row r="29" spans="1:19" ht="12.75">
      <c r="A29" s="7" t="s">
        <v>136</v>
      </c>
      <c r="C29" s="7"/>
      <c r="D29" s="7"/>
      <c r="E29" s="7">
        <v>0</v>
      </c>
      <c r="F29" s="8">
        <f t="shared" si="5"/>
        <v>0</v>
      </c>
      <c r="G29" s="7"/>
      <c r="H29" s="7">
        <v>1</v>
      </c>
      <c r="I29" s="8">
        <f>Totals!$C$11*H29</f>
        <v>1.0275</v>
      </c>
      <c r="J29" s="7"/>
      <c r="K29" s="7">
        <v>0</v>
      </c>
      <c r="L29" s="8">
        <f>Totals!$D$11*K29</f>
        <v>0</v>
      </c>
      <c r="M29" s="7"/>
      <c r="N29" s="7">
        <v>0</v>
      </c>
      <c r="O29" s="8">
        <f>Totals!$E$11*N29</f>
        <v>0</v>
      </c>
      <c r="P29" s="7"/>
      <c r="Q29" s="8">
        <f t="shared" si="6"/>
        <v>1</v>
      </c>
      <c r="R29" s="8">
        <f t="shared" si="6"/>
        <v>1.0275</v>
      </c>
      <c r="S29" s="7"/>
    </row>
    <row r="30" spans="1:19" ht="12.75">
      <c r="A30" s="7" t="s">
        <v>165</v>
      </c>
      <c r="C30" s="7"/>
      <c r="D30" s="7"/>
      <c r="E30" s="7">
        <v>2</v>
      </c>
      <c r="F30" s="8">
        <f t="shared" si="5"/>
        <v>2</v>
      </c>
      <c r="G30" s="7"/>
      <c r="H30" s="7">
        <v>0</v>
      </c>
      <c r="I30" s="8">
        <f>Totals!$C$11*H30</f>
        <v>0</v>
      </c>
      <c r="J30" s="7"/>
      <c r="K30" s="7">
        <v>0</v>
      </c>
      <c r="L30" s="8">
        <f>Totals!$D$11*K30</f>
        <v>0</v>
      </c>
      <c r="M30" s="7"/>
      <c r="N30" s="7">
        <v>0</v>
      </c>
      <c r="O30" s="8">
        <f>Totals!$E$11*N30</f>
        <v>0</v>
      </c>
      <c r="P30" s="7"/>
      <c r="Q30" s="8">
        <f t="shared" si="6"/>
        <v>2</v>
      </c>
      <c r="R30" s="8">
        <f t="shared" si="6"/>
        <v>2</v>
      </c>
      <c r="S30" s="7"/>
    </row>
    <row r="31" spans="1:19" ht="12.75">
      <c r="A31" s="7" t="s">
        <v>71</v>
      </c>
      <c r="C31" s="7"/>
      <c r="D31" s="7"/>
      <c r="E31" s="7">
        <v>0</v>
      </c>
      <c r="F31" s="8">
        <f t="shared" si="5"/>
        <v>0</v>
      </c>
      <c r="G31" s="7"/>
      <c r="H31" s="7">
        <v>2</v>
      </c>
      <c r="I31" s="8">
        <f>Totals!$C$11*H31</f>
        <v>2.055</v>
      </c>
      <c r="J31" s="7"/>
      <c r="K31" s="7">
        <v>0</v>
      </c>
      <c r="L31" s="8">
        <f>Totals!$D$11*K31</f>
        <v>0</v>
      </c>
      <c r="M31" s="7"/>
      <c r="N31" s="7">
        <v>0</v>
      </c>
      <c r="O31" s="8">
        <f>Totals!$E$11*N31</f>
        <v>0</v>
      </c>
      <c r="P31" s="7"/>
      <c r="Q31" s="8">
        <f t="shared" si="6"/>
        <v>2</v>
      </c>
      <c r="R31" s="8">
        <f t="shared" si="6"/>
        <v>2.055</v>
      </c>
      <c r="S31" s="7"/>
    </row>
    <row r="32" spans="1:19" ht="12.75">
      <c r="A32" s="7" t="s">
        <v>171</v>
      </c>
      <c r="C32" s="7"/>
      <c r="D32" s="7"/>
      <c r="E32" s="7">
        <v>0</v>
      </c>
      <c r="F32" s="8">
        <f t="shared" si="5"/>
        <v>0</v>
      </c>
      <c r="G32" s="7"/>
      <c r="H32" s="7">
        <v>2</v>
      </c>
      <c r="I32" s="8">
        <f>Totals!$C$11*H32</f>
        <v>2.055</v>
      </c>
      <c r="J32" s="7"/>
      <c r="K32" s="7">
        <v>0</v>
      </c>
      <c r="L32" s="8">
        <f>Totals!$D$11*K32</f>
        <v>0</v>
      </c>
      <c r="M32" s="7"/>
      <c r="N32" s="7">
        <v>0</v>
      </c>
      <c r="O32" s="8">
        <f>Totals!$E$11*N32</f>
        <v>0</v>
      </c>
      <c r="P32" s="7"/>
      <c r="Q32" s="8">
        <f t="shared" si="6"/>
        <v>2</v>
      </c>
      <c r="R32" s="8">
        <f t="shared" si="6"/>
        <v>2.055</v>
      </c>
      <c r="S32" s="7"/>
    </row>
    <row r="33" spans="1:19" ht="12.75">
      <c r="A33" s="7" t="s">
        <v>72</v>
      </c>
      <c r="C33" s="7"/>
      <c r="D33" s="7"/>
      <c r="E33" s="7">
        <v>0</v>
      </c>
      <c r="F33" s="8">
        <f t="shared" si="5"/>
        <v>0</v>
      </c>
      <c r="G33" s="7"/>
      <c r="H33" s="7">
        <v>1</v>
      </c>
      <c r="I33" s="8">
        <f>Totals!$C$11*H33</f>
        <v>1.0275</v>
      </c>
      <c r="J33" s="7"/>
      <c r="K33" s="7">
        <v>0</v>
      </c>
      <c r="L33" s="8">
        <f>Totals!$D$11*K33</f>
        <v>0</v>
      </c>
      <c r="M33" s="7"/>
      <c r="N33" s="7">
        <v>0</v>
      </c>
      <c r="O33" s="8">
        <f>Totals!$E$11*N33</f>
        <v>0</v>
      </c>
      <c r="P33" s="7"/>
      <c r="Q33" s="8">
        <f t="shared" si="6"/>
        <v>1</v>
      </c>
      <c r="R33" s="8">
        <f t="shared" si="6"/>
        <v>1.0275</v>
      </c>
      <c r="S33" s="7"/>
    </row>
    <row r="34" spans="1:19" ht="12.75">
      <c r="A34" s="7" t="s">
        <v>137</v>
      </c>
      <c r="C34" s="7"/>
      <c r="D34" s="7"/>
      <c r="E34" s="7">
        <v>0</v>
      </c>
      <c r="F34" s="8">
        <f t="shared" si="5"/>
        <v>0</v>
      </c>
      <c r="G34" s="7"/>
      <c r="H34" s="7">
        <v>0</v>
      </c>
      <c r="I34" s="8">
        <f>Totals!$C$11*H34</f>
        <v>0</v>
      </c>
      <c r="J34" s="7"/>
      <c r="K34" s="7">
        <v>1</v>
      </c>
      <c r="L34" s="8">
        <f>Totals!$D$11*K34</f>
        <v>1.056</v>
      </c>
      <c r="M34" s="7"/>
      <c r="N34" s="7">
        <v>0</v>
      </c>
      <c r="O34" s="8">
        <f>Totals!$E$11*N34</f>
        <v>0</v>
      </c>
      <c r="P34" s="7"/>
      <c r="Q34" s="8">
        <f t="shared" si="6"/>
        <v>1</v>
      </c>
      <c r="R34" s="8">
        <f t="shared" si="6"/>
        <v>1.056</v>
      </c>
      <c r="S34" s="7"/>
    </row>
    <row r="35" spans="1:19" ht="12.75">
      <c r="A35" s="7" t="s">
        <v>73</v>
      </c>
      <c r="C35" s="7"/>
      <c r="D35" s="7"/>
      <c r="E35" s="7">
        <v>0</v>
      </c>
      <c r="F35" s="8">
        <f t="shared" si="5"/>
        <v>0</v>
      </c>
      <c r="G35" s="7"/>
      <c r="H35" s="7">
        <v>0</v>
      </c>
      <c r="I35" s="8">
        <f>Totals!$C$11*H35</f>
        <v>0</v>
      </c>
      <c r="J35" s="7"/>
      <c r="K35" s="7">
        <v>1</v>
      </c>
      <c r="L35" s="8">
        <f>Totals!$D$11*K35</f>
        <v>1.056</v>
      </c>
      <c r="M35" s="7"/>
      <c r="N35" s="7">
        <v>0</v>
      </c>
      <c r="O35" s="8">
        <f>Totals!$E$11*N35</f>
        <v>0</v>
      </c>
      <c r="P35" s="7"/>
      <c r="Q35" s="8">
        <f t="shared" si="6"/>
        <v>1</v>
      </c>
      <c r="R35" s="8">
        <f t="shared" si="6"/>
        <v>1.056</v>
      </c>
      <c r="S35" s="7" t="s">
        <v>172</v>
      </c>
    </row>
    <row r="36" spans="1:19" ht="12.75">
      <c r="A36" s="7" t="s">
        <v>74</v>
      </c>
      <c r="C36" s="7"/>
      <c r="D36" s="7"/>
      <c r="E36" s="7">
        <v>0</v>
      </c>
      <c r="F36" s="8">
        <f t="shared" si="5"/>
        <v>0</v>
      </c>
      <c r="G36" s="7"/>
      <c r="H36" s="7">
        <v>0</v>
      </c>
      <c r="I36" s="8">
        <f>Totals!$C$11*H36</f>
        <v>0</v>
      </c>
      <c r="J36" s="7"/>
      <c r="K36" s="7">
        <v>2</v>
      </c>
      <c r="L36" s="8">
        <f>Totals!$D$11*K36</f>
        <v>2.112</v>
      </c>
      <c r="M36" s="7"/>
      <c r="N36" s="7">
        <v>0</v>
      </c>
      <c r="O36" s="8">
        <f>Totals!$E$11*N36</f>
        <v>0</v>
      </c>
      <c r="P36" s="7"/>
      <c r="Q36" s="8">
        <f t="shared" si="6"/>
        <v>2</v>
      </c>
      <c r="R36" s="8">
        <f t="shared" si="6"/>
        <v>2.112</v>
      </c>
      <c r="S36" s="7" t="s">
        <v>152</v>
      </c>
    </row>
    <row r="37" spans="1:19" ht="12.75">
      <c r="A37" s="7" t="s">
        <v>75</v>
      </c>
      <c r="C37" s="7"/>
      <c r="D37" s="7"/>
      <c r="E37" s="7">
        <v>0</v>
      </c>
      <c r="F37" s="8">
        <f t="shared" si="5"/>
        <v>0</v>
      </c>
      <c r="G37" s="7"/>
      <c r="H37" s="7">
        <v>0</v>
      </c>
      <c r="I37" s="8">
        <f>Totals!$C$11*H37</f>
        <v>0</v>
      </c>
      <c r="J37" s="7"/>
      <c r="K37" s="7">
        <v>2</v>
      </c>
      <c r="L37" s="8">
        <f>Totals!$D$11*K37</f>
        <v>2.112</v>
      </c>
      <c r="M37" s="7"/>
      <c r="N37" s="7">
        <v>0</v>
      </c>
      <c r="O37" s="8">
        <f>Totals!$E$11*N37</f>
        <v>0</v>
      </c>
      <c r="P37" s="7"/>
      <c r="Q37" s="8">
        <f t="shared" si="6"/>
        <v>2</v>
      </c>
      <c r="R37" s="8">
        <f t="shared" si="6"/>
        <v>2.112</v>
      </c>
      <c r="S37" s="7" t="s">
        <v>175</v>
      </c>
    </row>
    <row r="38" spans="1:19" ht="12.75">
      <c r="A38" s="7" t="s">
        <v>159</v>
      </c>
      <c r="C38" s="7"/>
      <c r="D38" s="7"/>
      <c r="E38" s="7">
        <v>2</v>
      </c>
      <c r="F38" s="8">
        <f t="shared" si="5"/>
        <v>2</v>
      </c>
      <c r="G38" s="7"/>
      <c r="H38" s="7">
        <v>0</v>
      </c>
      <c r="I38" s="8">
        <f>Totals!$C$11*H38</f>
        <v>0</v>
      </c>
      <c r="J38" s="7"/>
      <c r="K38" s="7">
        <v>0</v>
      </c>
      <c r="L38" s="8">
        <f>Totals!$D$11*K38</f>
        <v>0</v>
      </c>
      <c r="M38" s="7"/>
      <c r="N38" s="7">
        <v>0</v>
      </c>
      <c r="O38" s="8">
        <f>Totals!$E$11*N38</f>
        <v>0</v>
      </c>
      <c r="P38" s="7"/>
      <c r="Q38" s="8">
        <f t="shared" si="6"/>
        <v>2</v>
      </c>
      <c r="R38" s="8">
        <f t="shared" si="6"/>
        <v>2</v>
      </c>
      <c r="S38" s="7" t="s">
        <v>173</v>
      </c>
    </row>
    <row r="39" spans="1:19" ht="12.75">
      <c r="A39" s="7"/>
      <c r="C39" s="7" t="s">
        <v>32</v>
      </c>
      <c r="D39" s="7"/>
      <c r="E39" s="10">
        <f>SUM(E27:E38)</f>
        <v>4</v>
      </c>
      <c r="F39" s="10">
        <f>SUM(F27:F38)</f>
        <v>4</v>
      </c>
      <c r="G39" s="7"/>
      <c r="H39" s="7">
        <f>SUM(H27:H38)</f>
        <v>9</v>
      </c>
      <c r="I39" s="15">
        <f>SUM(I27:I38)</f>
        <v>9.2475</v>
      </c>
      <c r="J39" s="8"/>
      <c r="K39" s="8">
        <f>SUM(K27:K38)</f>
        <v>6</v>
      </c>
      <c r="L39" s="15">
        <f>SUM(L27:L38)</f>
        <v>6.336</v>
      </c>
      <c r="M39" s="7"/>
      <c r="N39" s="7">
        <f>SUM(N27:N38)</f>
        <v>0</v>
      </c>
      <c r="O39" s="10">
        <f>SUM(O27:O38)</f>
        <v>0</v>
      </c>
      <c r="P39" s="7"/>
      <c r="Q39" s="8">
        <f t="shared" si="6"/>
        <v>19</v>
      </c>
      <c r="R39" s="8">
        <f t="shared" si="6"/>
        <v>19.5835</v>
      </c>
      <c r="S39" s="7"/>
    </row>
    <row r="40" spans="1:19" ht="12.75">
      <c r="A40" s="7"/>
      <c r="C40" s="7"/>
      <c r="D40" s="7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6" t="s">
        <v>18</v>
      </c>
      <c r="C41" s="7"/>
      <c r="D41" s="7"/>
      <c r="E41" s="10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75">
      <c r="A42" s="7" t="s">
        <v>33</v>
      </c>
      <c r="C42" s="7"/>
      <c r="D42" s="7"/>
      <c r="E42" s="7">
        <v>4</v>
      </c>
      <c r="F42" s="8">
        <f>E42</f>
        <v>4</v>
      </c>
      <c r="G42" s="7"/>
      <c r="H42" s="7">
        <v>4</v>
      </c>
      <c r="I42" s="8">
        <f>Totals!$C$11*H42</f>
        <v>4.11</v>
      </c>
      <c r="J42" s="7"/>
      <c r="K42" s="7">
        <v>4</v>
      </c>
      <c r="L42" s="8">
        <f>Totals!$D$11*K42</f>
        <v>4.224</v>
      </c>
      <c r="M42" s="7"/>
      <c r="N42" s="7">
        <v>1</v>
      </c>
      <c r="O42" s="8">
        <f>Totals!$E$11*N42</f>
        <v>1.085</v>
      </c>
      <c r="P42" s="7"/>
      <c r="Q42" s="8">
        <f aca="true" t="shared" si="7" ref="Q42:R45">E42+H42+K42+N42</f>
        <v>13</v>
      </c>
      <c r="R42" s="8">
        <f t="shared" si="7"/>
        <v>13.419</v>
      </c>
      <c r="S42" s="7"/>
    </row>
    <row r="43" spans="1:19" ht="12.75">
      <c r="A43" s="7" t="s">
        <v>138</v>
      </c>
      <c r="C43" s="7"/>
      <c r="D43" s="7" t="s">
        <v>19</v>
      </c>
      <c r="E43" s="7">
        <v>2</v>
      </c>
      <c r="F43" s="8">
        <f>E43</f>
        <v>2</v>
      </c>
      <c r="G43" s="7"/>
      <c r="H43" s="7">
        <v>1</v>
      </c>
      <c r="I43" s="8">
        <f>Totals!$C$11*H43</f>
        <v>1.0275</v>
      </c>
      <c r="J43" s="7"/>
      <c r="K43" s="7">
        <v>2</v>
      </c>
      <c r="L43" s="8">
        <f>Totals!$D$11*K43</f>
        <v>2.112</v>
      </c>
      <c r="M43" s="7"/>
      <c r="N43" s="7">
        <v>1</v>
      </c>
      <c r="O43" s="8">
        <f>Totals!$E$11*N43</f>
        <v>1.085</v>
      </c>
      <c r="P43" s="7"/>
      <c r="Q43" s="8">
        <f t="shared" si="7"/>
        <v>6</v>
      </c>
      <c r="R43" s="8">
        <f t="shared" si="7"/>
        <v>6.2245</v>
      </c>
      <c r="S43" s="7"/>
    </row>
    <row r="44" spans="1:19" ht="12.75">
      <c r="A44" s="7" t="s">
        <v>35</v>
      </c>
      <c r="C44" s="7"/>
      <c r="D44" s="7"/>
      <c r="E44" s="7">
        <v>0</v>
      </c>
      <c r="F44" s="8">
        <f>E44</f>
        <v>0</v>
      </c>
      <c r="G44" s="7"/>
      <c r="H44" s="7">
        <v>1</v>
      </c>
      <c r="I44" s="8">
        <f>Totals!$C$11*H44</f>
        <v>1.0275</v>
      </c>
      <c r="J44" s="7"/>
      <c r="K44" s="7">
        <v>3</v>
      </c>
      <c r="L44" s="8">
        <f>Totals!$D$11*K44</f>
        <v>3.168</v>
      </c>
      <c r="M44" s="7"/>
      <c r="N44" s="7">
        <v>1</v>
      </c>
      <c r="O44" s="8">
        <f>Totals!$E$11*N44</f>
        <v>1.085</v>
      </c>
      <c r="P44" s="7"/>
      <c r="Q44" s="8">
        <f t="shared" si="7"/>
        <v>5</v>
      </c>
      <c r="R44" s="8">
        <f t="shared" si="7"/>
        <v>5.2805</v>
      </c>
      <c r="S44" s="7"/>
    </row>
    <row r="45" spans="1:19" ht="12.75">
      <c r="A45" s="7"/>
      <c r="C45" s="7" t="s">
        <v>36</v>
      </c>
      <c r="D45" s="7"/>
      <c r="E45" s="10">
        <f>SUM(E42:E44)</f>
        <v>6</v>
      </c>
      <c r="F45" s="15">
        <f>SUM(F42:F44)</f>
        <v>6</v>
      </c>
      <c r="G45" s="8"/>
      <c r="H45" s="8">
        <f>SUM(H42:H44)</f>
        <v>6</v>
      </c>
      <c r="I45" s="15">
        <f>SUM(I42:I44)</f>
        <v>6.165</v>
      </c>
      <c r="J45" s="8"/>
      <c r="K45" s="8">
        <f>SUM(K42:K44)</f>
        <v>9</v>
      </c>
      <c r="L45" s="15">
        <f>SUM(L42:L44)</f>
        <v>9.504000000000001</v>
      </c>
      <c r="M45" s="7"/>
      <c r="N45" s="7">
        <f>SUM(N42:N44)</f>
        <v>3</v>
      </c>
      <c r="O45" s="15">
        <f>SUM(O42:O44)</f>
        <v>3.255</v>
      </c>
      <c r="P45" s="7"/>
      <c r="Q45" s="8">
        <f t="shared" si="7"/>
        <v>24</v>
      </c>
      <c r="R45" s="8">
        <f t="shared" si="7"/>
        <v>24.924</v>
      </c>
      <c r="S45" s="7"/>
    </row>
    <row r="46" spans="1:19" ht="12.75">
      <c r="A46" s="7"/>
      <c r="C46" s="7"/>
      <c r="D46" s="7"/>
      <c r="E46" s="10"/>
      <c r="F46" s="8"/>
      <c r="G46" s="7"/>
      <c r="H46" s="7"/>
      <c r="I46" s="8"/>
      <c r="J46" s="7"/>
      <c r="K46" s="7"/>
      <c r="L46" s="8"/>
      <c r="M46" s="7"/>
      <c r="N46" s="7"/>
      <c r="O46" s="8"/>
      <c r="P46" s="7"/>
      <c r="Q46" s="8"/>
      <c r="R46" s="8"/>
      <c r="S46" s="7"/>
    </row>
    <row r="47" spans="1:19" ht="12.75">
      <c r="A47" s="6" t="s">
        <v>182</v>
      </c>
      <c r="C47" s="7" t="s">
        <v>37</v>
      </c>
      <c r="D47" s="9"/>
      <c r="E47" s="15">
        <f>E7+E24+E39+E45</f>
        <v>21</v>
      </c>
      <c r="F47" s="15">
        <f>F7+F24+F39+F45</f>
        <v>21</v>
      </c>
      <c r="G47" s="9"/>
      <c r="H47" s="15">
        <f>H7+H24+H39+H45</f>
        <v>80.56036499999999</v>
      </c>
      <c r="I47" s="15">
        <f>I7+I24+I39+I45</f>
        <v>82.77577503750001</v>
      </c>
      <c r="J47" s="9"/>
      <c r="K47" s="15">
        <f>K7+K24+K39+K45</f>
        <v>122.978691682243</v>
      </c>
      <c r="L47" s="15">
        <f>L7+L24+L39+L45</f>
        <v>129.86549841644862</v>
      </c>
      <c r="M47" s="9"/>
      <c r="N47" s="15">
        <f>N7+N24+N39+N45</f>
        <v>68.71692268815748</v>
      </c>
      <c r="O47" s="15">
        <f>O7+O24+O39+O45</f>
        <v>74.55786111665086</v>
      </c>
      <c r="P47" s="9"/>
      <c r="Q47" s="8">
        <f>E47+H47+K47+N47</f>
        <v>293.25597937040044</v>
      </c>
      <c r="R47" s="8">
        <f>F47+I47+L47+O47</f>
        <v>308.1991345705995</v>
      </c>
      <c r="S47" s="7"/>
    </row>
    <row r="48" spans="1:19" ht="12.75">
      <c r="A48" s="6"/>
      <c r="C48" s="7" t="s">
        <v>184</v>
      </c>
      <c r="D48" s="9"/>
      <c r="E48" s="15"/>
      <c r="F48" s="8">
        <f>F47</f>
        <v>21</v>
      </c>
      <c r="G48" s="9"/>
      <c r="H48" s="15"/>
      <c r="I48" s="8">
        <f>F48+I47</f>
        <v>103.77577503750001</v>
      </c>
      <c r="J48" s="9"/>
      <c r="K48" s="15"/>
      <c r="L48" s="8">
        <f>I48+L47</f>
        <v>233.64127345394863</v>
      </c>
      <c r="M48" s="9"/>
      <c r="N48" s="15"/>
      <c r="O48" s="8">
        <f>L48+O47</f>
        <v>308.1991345705995</v>
      </c>
      <c r="P48" s="9"/>
      <c r="Q48" s="8"/>
      <c r="R48" s="8"/>
      <c r="S48" s="7"/>
    </row>
    <row r="49" spans="1:19" ht="12.75">
      <c r="A49" s="7"/>
      <c r="C49" s="7"/>
      <c r="D49" s="7"/>
      <c r="E49" s="10"/>
      <c r="F49" s="8"/>
      <c r="G49" s="7"/>
      <c r="H49" s="7"/>
      <c r="I49" s="8"/>
      <c r="J49" s="7"/>
      <c r="K49" s="7"/>
      <c r="L49" s="8"/>
      <c r="M49" s="7"/>
      <c r="N49" s="7"/>
      <c r="O49" s="8"/>
      <c r="P49" s="7"/>
      <c r="Q49" s="8"/>
      <c r="R49" s="8"/>
      <c r="S49" s="7"/>
    </row>
    <row r="50" ht="12.75">
      <c r="A50" s="6" t="s">
        <v>181</v>
      </c>
    </row>
    <row r="51" spans="1:19" ht="12.75">
      <c r="A51" t="s">
        <v>0</v>
      </c>
      <c r="B51" t="s">
        <v>22</v>
      </c>
      <c r="C51" s="7" t="s">
        <v>11</v>
      </c>
      <c r="D51" s="10" t="s">
        <v>177</v>
      </c>
      <c r="E51" s="14" t="s">
        <v>9</v>
      </c>
      <c r="F51" s="14" t="s">
        <v>178</v>
      </c>
      <c r="G51" s="10" t="s">
        <v>177</v>
      </c>
      <c r="H51" s="14" t="s">
        <v>9</v>
      </c>
      <c r="I51" s="14" t="s">
        <v>178</v>
      </c>
      <c r="J51" s="10" t="s">
        <v>177</v>
      </c>
      <c r="K51" s="14" t="s">
        <v>9</v>
      </c>
      <c r="L51" s="14" t="s">
        <v>178</v>
      </c>
      <c r="M51" s="10" t="s">
        <v>177</v>
      </c>
      <c r="N51" s="14" t="s">
        <v>9</v>
      </c>
      <c r="O51" s="14" t="s">
        <v>178</v>
      </c>
      <c r="P51" s="10" t="s">
        <v>177</v>
      </c>
      <c r="Q51" s="14" t="s">
        <v>9</v>
      </c>
      <c r="R51" s="14" t="s">
        <v>178</v>
      </c>
      <c r="S51" s="7"/>
    </row>
    <row r="52" spans="1:19" ht="12.75">
      <c r="A52" s="7" t="s">
        <v>108</v>
      </c>
      <c r="B52" s="7" t="s">
        <v>21</v>
      </c>
      <c r="C52" s="7" t="s">
        <v>45</v>
      </c>
      <c r="D52" s="8">
        <v>2</v>
      </c>
      <c r="E52" s="15">
        <f>D52*Staff!$D$21</f>
        <v>11.536</v>
      </c>
      <c r="F52" s="8">
        <f aca="true" t="shared" si="8" ref="F52:F62">E52</f>
        <v>11.536</v>
      </c>
      <c r="G52" s="8">
        <v>2</v>
      </c>
      <c r="H52" s="15">
        <f>G52*Staff!$E$21</f>
        <v>11.536</v>
      </c>
      <c r="I52" s="8">
        <f>Totals!$C$11*H52</f>
        <v>11.853240000000001</v>
      </c>
      <c r="J52" s="8">
        <v>3</v>
      </c>
      <c r="K52" s="15">
        <f>J52*Staff!$F$21</f>
        <v>17.716</v>
      </c>
      <c r="L52" s="8">
        <f>Totals!$D$11*K52</f>
        <v>18.708096</v>
      </c>
      <c r="M52" s="8">
        <v>1</v>
      </c>
      <c r="N52" s="15">
        <f>M52*Staff!$G$21</f>
        <v>5.905333333333334</v>
      </c>
      <c r="O52" s="8">
        <f>Totals!$E$11*N52</f>
        <v>6.407286666666667</v>
      </c>
      <c r="P52" s="8">
        <f aca="true" t="shared" si="9" ref="P52:R62">D52+G52+J52+M52</f>
        <v>8</v>
      </c>
      <c r="Q52" s="8">
        <f t="shared" si="9"/>
        <v>46.69333333333333</v>
      </c>
      <c r="R52" s="8">
        <f t="shared" si="9"/>
        <v>48.50462266666666</v>
      </c>
      <c r="S52" s="7"/>
    </row>
    <row r="53" spans="1:19" ht="12.75">
      <c r="A53" t="s">
        <v>109</v>
      </c>
      <c r="B53" t="s">
        <v>24</v>
      </c>
      <c r="C53" s="7" t="s">
        <v>45</v>
      </c>
      <c r="D53" s="8">
        <v>1</v>
      </c>
      <c r="E53" s="15">
        <f>D53*Staff!$D$22</f>
        <v>3.502</v>
      </c>
      <c r="F53" s="8">
        <f t="shared" si="8"/>
        <v>3.502</v>
      </c>
      <c r="G53" s="8">
        <v>2</v>
      </c>
      <c r="H53" s="15">
        <f>G53*Staff!$E$22</f>
        <v>7.21</v>
      </c>
      <c r="I53" s="8">
        <f>Totals!$C$11*H53</f>
        <v>7.408275000000001</v>
      </c>
      <c r="J53" s="8">
        <v>2</v>
      </c>
      <c r="K53" s="15">
        <f>J53*Staff!$F$22</f>
        <v>7.313</v>
      </c>
      <c r="L53" s="8">
        <f>Totals!$D$11*K53</f>
        <v>7.7225280000000005</v>
      </c>
      <c r="M53" s="8">
        <v>1</v>
      </c>
      <c r="N53" s="15">
        <f>M53*Staff!$G$21</f>
        <v>5.905333333333334</v>
      </c>
      <c r="O53" s="8">
        <f>Totals!$E$11*N53</f>
        <v>6.407286666666667</v>
      </c>
      <c r="P53" s="8">
        <f t="shared" si="9"/>
        <v>6</v>
      </c>
      <c r="Q53" s="8">
        <f t="shared" si="9"/>
        <v>23.930333333333333</v>
      </c>
      <c r="R53" s="8">
        <f t="shared" si="9"/>
        <v>25.04008966666667</v>
      </c>
      <c r="S53" s="7"/>
    </row>
    <row r="54" spans="1:19" ht="12.75">
      <c r="A54" t="s">
        <v>110</v>
      </c>
      <c r="B54" t="s">
        <v>24</v>
      </c>
      <c r="C54" s="7" t="s">
        <v>45</v>
      </c>
      <c r="D54" s="8">
        <v>1</v>
      </c>
      <c r="E54" s="15">
        <f>D54*Staff!$D$20</f>
        <v>3.193</v>
      </c>
      <c r="F54" s="8">
        <f t="shared" si="8"/>
        <v>3.193</v>
      </c>
      <c r="G54" s="8">
        <v>3</v>
      </c>
      <c r="H54" s="15">
        <f>G54*Staff!$E$20</f>
        <v>9.682</v>
      </c>
      <c r="I54" s="8">
        <f>Totals!$C$11*H54</f>
        <v>9.948255000000001</v>
      </c>
      <c r="J54" s="8">
        <v>4</v>
      </c>
      <c r="K54" s="15">
        <f>J54*Staff!$F$20</f>
        <v>13.081</v>
      </c>
      <c r="L54" s="8">
        <f>Totals!$D$11*K54</f>
        <v>13.813536000000001</v>
      </c>
      <c r="M54" s="8">
        <v>2</v>
      </c>
      <c r="N54" s="15">
        <f>M54*Staff!$G$21</f>
        <v>11.810666666666668</v>
      </c>
      <c r="O54" s="8">
        <f>Totals!$E$11*N54</f>
        <v>12.814573333333334</v>
      </c>
      <c r="P54" s="8">
        <f t="shared" si="9"/>
        <v>10</v>
      </c>
      <c r="Q54" s="8">
        <f t="shared" si="9"/>
        <v>37.766666666666666</v>
      </c>
      <c r="R54" s="8">
        <f t="shared" si="9"/>
        <v>39.769364333333336</v>
      </c>
      <c r="S54" s="7"/>
    </row>
    <row r="55" spans="1:19" ht="12.75">
      <c r="A55" t="s">
        <v>112</v>
      </c>
      <c r="B55" t="s">
        <v>21</v>
      </c>
      <c r="C55" s="7" t="s">
        <v>14</v>
      </c>
      <c r="D55" s="8">
        <v>0</v>
      </c>
      <c r="E55" s="15">
        <f>D55*Staff!$D$24</f>
        <v>0</v>
      </c>
      <c r="F55" s="8">
        <f t="shared" si="8"/>
        <v>0</v>
      </c>
      <c r="G55" s="8">
        <v>1</v>
      </c>
      <c r="H55" s="15">
        <f>G55*Staff!$E$24</f>
        <v>7.129058333333333</v>
      </c>
      <c r="I55" s="8">
        <f>Totals!$C$11*H55</f>
        <v>7.325107437500001</v>
      </c>
      <c r="J55" s="8">
        <v>3</v>
      </c>
      <c r="K55" s="15">
        <f>J55*Staff!$F$24</f>
        <v>21.995994999999997</v>
      </c>
      <c r="L55" s="8">
        <f>Totals!$D$11*K55</f>
        <v>23.22777072</v>
      </c>
      <c r="M55" s="8">
        <v>2</v>
      </c>
      <c r="N55" s="15">
        <f>M55*Staff!$G$24</f>
        <v>15.05795333333333</v>
      </c>
      <c r="O55" s="8">
        <f>Totals!$E$11*N55</f>
        <v>16.337879366666662</v>
      </c>
      <c r="P55" s="8">
        <f t="shared" si="9"/>
        <v>6</v>
      </c>
      <c r="Q55" s="8">
        <f t="shared" si="9"/>
        <v>44.18300666666666</v>
      </c>
      <c r="R55" s="8">
        <f t="shared" si="9"/>
        <v>46.89075752416666</v>
      </c>
      <c r="S55" s="7"/>
    </row>
    <row r="56" spans="1:19" ht="12.75">
      <c r="A56" t="s">
        <v>113</v>
      </c>
      <c r="B56" t="s">
        <v>21</v>
      </c>
      <c r="C56" s="7" t="s">
        <v>14</v>
      </c>
      <c r="D56" s="8">
        <v>0</v>
      </c>
      <c r="E56" s="15">
        <f>D56*Staff!$D$25</f>
        <v>0</v>
      </c>
      <c r="F56" s="8">
        <f t="shared" si="8"/>
        <v>0</v>
      </c>
      <c r="G56" s="8">
        <v>1</v>
      </c>
      <c r="H56" s="15">
        <f>G56*Staff!$E$25</f>
        <v>5.108296666666666</v>
      </c>
      <c r="I56" s="8">
        <f>Totals!$C$11*H56</f>
        <v>5.248774825</v>
      </c>
      <c r="J56" s="8">
        <v>2</v>
      </c>
      <c r="K56" s="15">
        <f>J56*Staff!$F$25</f>
        <v>10.501536666666665</v>
      </c>
      <c r="L56" s="8">
        <f>Totals!$D$11*K56</f>
        <v>11.089622719999998</v>
      </c>
      <c r="M56" s="8">
        <v>1</v>
      </c>
      <c r="N56" s="15">
        <f>M56*Staff!$G$25</f>
        <v>5.389103333333331</v>
      </c>
      <c r="O56" s="8">
        <f>Totals!$E$11*N56</f>
        <v>5.847177116666664</v>
      </c>
      <c r="P56" s="8">
        <f t="shared" si="9"/>
        <v>4</v>
      </c>
      <c r="Q56" s="8">
        <f t="shared" si="9"/>
        <v>20.998936666666662</v>
      </c>
      <c r="R56" s="8">
        <f t="shared" si="9"/>
        <v>22.185574661666664</v>
      </c>
      <c r="S56" s="7"/>
    </row>
    <row r="57" spans="1:19" ht="12.75">
      <c r="A57" s="7" t="s">
        <v>114</v>
      </c>
      <c r="B57" s="7" t="s">
        <v>21</v>
      </c>
      <c r="C57" s="7" t="s">
        <v>42</v>
      </c>
      <c r="D57" s="8">
        <v>1</v>
      </c>
      <c r="E57" s="15">
        <f>D57*Staff!$D$28</f>
        <v>5.922166666666667</v>
      </c>
      <c r="F57" s="8">
        <f t="shared" si="8"/>
        <v>5.922166666666667</v>
      </c>
      <c r="G57" s="8">
        <v>2</v>
      </c>
      <c r="H57" s="15">
        <f>G57*Staff!$E$28</f>
        <v>12.140500000000001</v>
      </c>
      <c r="I57" s="8">
        <f>Totals!$C$11*H57</f>
        <v>12.474363750000002</v>
      </c>
      <c r="J57" s="8">
        <v>2</v>
      </c>
      <c r="K57" s="15">
        <f>J57*Staff!$F$28</f>
        <v>12.444</v>
      </c>
      <c r="L57" s="8">
        <f>Totals!$D$11*K57</f>
        <v>13.140864000000002</v>
      </c>
      <c r="M57" s="8">
        <v>1</v>
      </c>
      <c r="N57" s="15">
        <f>M57*Staff!$G$28</f>
        <v>6.370083333333334</v>
      </c>
      <c r="O57" s="8">
        <f>Totals!$E$11*N57</f>
        <v>6.911540416666668</v>
      </c>
      <c r="P57" s="8">
        <f t="shared" si="9"/>
        <v>6</v>
      </c>
      <c r="Q57" s="8">
        <f t="shared" si="9"/>
        <v>36.87675</v>
      </c>
      <c r="R57" s="8">
        <f t="shared" si="9"/>
        <v>38.44893483333334</v>
      </c>
      <c r="S57" s="7"/>
    </row>
    <row r="58" spans="1:19" ht="12.75">
      <c r="A58" s="7" t="s">
        <v>115</v>
      </c>
      <c r="B58" s="7" t="s">
        <v>21</v>
      </c>
      <c r="C58" s="7" t="s">
        <v>42</v>
      </c>
      <c r="D58" s="8">
        <v>1</v>
      </c>
      <c r="E58" s="15">
        <f>D58*Staff!$D$29</f>
        <v>5.996166666666666</v>
      </c>
      <c r="F58" s="8">
        <f t="shared" si="8"/>
        <v>5.996166666666666</v>
      </c>
      <c r="G58" s="8">
        <v>1</v>
      </c>
      <c r="H58" s="15">
        <f>G58*Staff!$E$29</f>
        <v>6.146083333333333</v>
      </c>
      <c r="I58" s="8">
        <f>Totals!$C$11*H58</f>
        <v>6.315100625</v>
      </c>
      <c r="J58" s="8">
        <v>1</v>
      </c>
      <c r="K58" s="15">
        <f>J58*Staff!$F$29</f>
        <v>6.2997499999999995</v>
      </c>
      <c r="L58" s="8">
        <f>Totals!$D$11*K58</f>
        <v>6.652536</v>
      </c>
      <c r="M58" s="8">
        <v>1</v>
      </c>
      <c r="N58" s="15">
        <f>M58*Staff!$G$29</f>
        <v>6.449666666666666</v>
      </c>
      <c r="O58" s="8">
        <f>Totals!$E$11*N58</f>
        <v>6.997888333333333</v>
      </c>
      <c r="P58" s="8">
        <f t="shared" si="9"/>
        <v>4</v>
      </c>
      <c r="Q58" s="8">
        <f t="shared" si="9"/>
        <v>24.891666666666666</v>
      </c>
      <c r="R58" s="8">
        <f t="shared" si="9"/>
        <v>25.961691624999997</v>
      </c>
      <c r="S58" s="7"/>
    </row>
    <row r="59" spans="1:19" ht="12.75">
      <c r="A59" t="s">
        <v>116</v>
      </c>
      <c r="B59" t="s">
        <v>21</v>
      </c>
      <c r="C59" s="7" t="s">
        <v>50</v>
      </c>
      <c r="D59" s="8">
        <v>0</v>
      </c>
      <c r="E59" s="15">
        <f>D59*Staff!$D$33</f>
        <v>0</v>
      </c>
      <c r="F59" s="8">
        <f t="shared" si="8"/>
        <v>0</v>
      </c>
      <c r="G59" s="8">
        <v>1</v>
      </c>
      <c r="H59" s="15">
        <f>G59*Staff!$E$33</f>
        <v>4.491787439613527</v>
      </c>
      <c r="I59" s="8">
        <f>Totals!$C$11*H59</f>
        <v>4.6153115942028995</v>
      </c>
      <c r="J59" s="8">
        <v>2</v>
      </c>
      <c r="K59" s="15">
        <f>J59*Staff!$F$33</f>
        <v>9.006542056074766</v>
      </c>
      <c r="L59" s="8">
        <f>Totals!$D$11*K59</f>
        <v>9.510908411214952</v>
      </c>
      <c r="M59" s="8">
        <v>1</v>
      </c>
      <c r="N59" s="15">
        <f>M59*Staff!$G$33</f>
        <v>4.514754616461238</v>
      </c>
      <c r="O59" s="8">
        <f>Totals!$E$11*N59</f>
        <v>4.8985087588604435</v>
      </c>
      <c r="P59" s="8">
        <f t="shared" si="9"/>
        <v>4</v>
      </c>
      <c r="Q59" s="8">
        <f t="shared" si="9"/>
        <v>18.01308411214953</v>
      </c>
      <c r="R59" s="8">
        <f t="shared" si="9"/>
        <v>19.024728764278297</v>
      </c>
      <c r="S59" s="7"/>
    </row>
    <row r="60" spans="1:19" ht="12.75">
      <c r="A60" t="s">
        <v>140</v>
      </c>
      <c r="B60" t="s">
        <v>21</v>
      </c>
      <c r="C60" s="7" t="s">
        <v>50</v>
      </c>
      <c r="D60" s="8">
        <v>1</v>
      </c>
      <c r="E60" s="15">
        <f>D60*Staff!$D$34</f>
        <v>5.878500000000001</v>
      </c>
      <c r="F60" s="8">
        <f t="shared" si="8"/>
        <v>5.878500000000001</v>
      </c>
      <c r="G60" s="8">
        <v>2</v>
      </c>
      <c r="H60" s="15">
        <f>G60*Staff!$E$34</f>
        <v>11.770048309178744</v>
      </c>
      <c r="I60" s="8">
        <f>Totals!$C$11*H60</f>
        <v>12.093724637681161</v>
      </c>
      <c r="J60" s="8">
        <v>2</v>
      </c>
      <c r="K60" s="15">
        <f>J60*Staff!$F$34</f>
        <v>11.797196261682243</v>
      </c>
      <c r="L60" s="8">
        <f>Totals!$D$11*K60</f>
        <v>12.45783925233645</v>
      </c>
      <c r="M60" s="8">
        <v>1</v>
      </c>
      <c r="N60" s="15">
        <f>M60*Staff!$G$34</f>
        <v>5.905122285430492</v>
      </c>
      <c r="O60" s="8">
        <f>Totals!$E$11*N60</f>
        <v>6.407057679692084</v>
      </c>
      <c r="P60" s="8">
        <f t="shared" si="9"/>
        <v>6</v>
      </c>
      <c r="Q60" s="8">
        <f t="shared" si="9"/>
        <v>35.35086685629148</v>
      </c>
      <c r="R60" s="8">
        <f t="shared" si="9"/>
        <v>36.837121569709694</v>
      </c>
      <c r="S60" s="7"/>
    </row>
    <row r="61" spans="1:19" ht="12.75">
      <c r="A61" t="s">
        <v>118</v>
      </c>
      <c r="B61" t="s">
        <v>21</v>
      </c>
      <c r="C61" s="7" t="s">
        <v>48</v>
      </c>
      <c r="D61" s="8">
        <v>2</v>
      </c>
      <c r="E61" s="15">
        <f>D61*Staff!$D$36</f>
        <v>10.2675</v>
      </c>
      <c r="F61" s="8">
        <f t="shared" si="8"/>
        <v>10.2675</v>
      </c>
      <c r="G61" s="8">
        <v>4</v>
      </c>
      <c r="H61" s="15">
        <f>G61*Staff!$E$36</f>
        <v>20.535</v>
      </c>
      <c r="I61" s="8">
        <f>Totals!$C$11*H61</f>
        <v>21.099712500000003</v>
      </c>
      <c r="J61" s="8">
        <v>6</v>
      </c>
      <c r="K61" s="15">
        <f>J61*Staff!$F$36</f>
        <v>34.224</v>
      </c>
      <c r="L61" s="8">
        <f>Totals!$D$11*K61</f>
        <v>36.140544</v>
      </c>
      <c r="M61" s="8">
        <v>3</v>
      </c>
      <c r="N61" s="15">
        <f>M61*Staff!$G$36</f>
        <v>17.112</v>
      </c>
      <c r="O61" s="8">
        <f>Totals!$E$11*N61</f>
        <v>18.566519999999997</v>
      </c>
      <c r="P61" s="8">
        <f t="shared" si="9"/>
        <v>15</v>
      </c>
      <c r="Q61" s="8">
        <f t="shared" si="9"/>
        <v>82.1385</v>
      </c>
      <c r="R61" s="8">
        <f t="shared" si="9"/>
        <v>86.0742765</v>
      </c>
      <c r="S61" s="7"/>
    </row>
    <row r="62" spans="1:19" ht="12.75">
      <c r="A62" t="s">
        <v>53</v>
      </c>
      <c r="B62" t="s">
        <v>21</v>
      </c>
      <c r="C62" s="7" t="s">
        <v>48</v>
      </c>
      <c r="D62" s="8">
        <v>2</v>
      </c>
      <c r="E62" s="15">
        <f>D62*Staff!$D$37</f>
        <v>9.212666666666667</v>
      </c>
      <c r="F62" s="8">
        <f t="shared" si="8"/>
        <v>9.212666666666667</v>
      </c>
      <c r="G62" s="8">
        <v>5</v>
      </c>
      <c r="H62" s="15">
        <f>G62*Staff!$E$37</f>
        <v>23.314583333333335</v>
      </c>
      <c r="I62" s="8">
        <f>Totals!$C$11*H62</f>
        <v>23.955734375000002</v>
      </c>
      <c r="J62" s="8">
        <v>6</v>
      </c>
      <c r="K62" s="15">
        <f>J62*Staff!$F$37</f>
        <v>29.842</v>
      </c>
      <c r="L62" s="8">
        <f>Totals!$D$11*K62</f>
        <v>31.513152</v>
      </c>
      <c r="M62" s="8">
        <v>3</v>
      </c>
      <c r="N62" s="15">
        <f>M62*Staff!$G$37</f>
        <v>15.090750000000002</v>
      </c>
      <c r="O62" s="8">
        <f>Totals!$E$11*N62</f>
        <v>16.373463750000003</v>
      </c>
      <c r="P62" s="8">
        <f t="shared" si="9"/>
        <v>16</v>
      </c>
      <c r="Q62" s="8">
        <f t="shared" si="9"/>
        <v>77.46000000000001</v>
      </c>
      <c r="R62" s="8">
        <f t="shared" si="9"/>
        <v>81.05501679166667</v>
      </c>
      <c r="S62" s="7"/>
    </row>
    <row r="63" spans="3:19" ht="12.75">
      <c r="C63" s="7" t="s">
        <v>29</v>
      </c>
      <c r="D63" s="8">
        <f aca="true" t="shared" si="10" ref="D63:R63">SUM(D52:D62)</f>
        <v>11</v>
      </c>
      <c r="E63" s="8">
        <f t="shared" si="10"/>
        <v>55.507999999999996</v>
      </c>
      <c r="F63" s="8">
        <f t="shared" si="10"/>
        <v>55.507999999999996</v>
      </c>
      <c r="G63" s="8">
        <f t="shared" si="10"/>
        <v>24</v>
      </c>
      <c r="H63" s="8">
        <f t="shared" si="10"/>
        <v>119.06335741545892</v>
      </c>
      <c r="I63" s="8">
        <f t="shared" si="10"/>
        <v>122.33759974438406</v>
      </c>
      <c r="J63" s="8">
        <f t="shared" si="10"/>
        <v>33</v>
      </c>
      <c r="K63" s="8">
        <f t="shared" si="10"/>
        <v>174.22101998442366</v>
      </c>
      <c r="L63" s="8">
        <f t="shared" si="10"/>
        <v>183.9773971035514</v>
      </c>
      <c r="M63" s="8">
        <f t="shared" si="10"/>
        <v>17</v>
      </c>
      <c r="N63" s="8">
        <f t="shared" si="10"/>
        <v>99.51076690189173</v>
      </c>
      <c r="O63" s="8">
        <f t="shared" si="10"/>
        <v>107.96918208855251</v>
      </c>
      <c r="P63" s="8">
        <f t="shared" si="10"/>
        <v>85</v>
      </c>
      <c r="Q63" s="8">
        <f t="shared" si="10"/>
        <v>448.3031443017743</v>
      </c>
      <c r="R63" s="8">
        <f t="shared" si="10"/>
        <v>469.7921789364879</v>
      </c>
      <c r="S63" s="7"/>
    </row>
    <row r="64" spans="3:19" ht="12.75">
      <c r="C64" s="7"/>
      <c r="D64" s="9"/>
      <c r="E64" s="15"/>
      <c r="F64" s="8"/>
      <c r="G64" s="9"/>
      <c r="H64" s="8"/>
      <c r="I64" s="8"/>
      <c r="J64" s="9"/>
      <c r="K64" s="8"/>
      <c r="L64" s="8"/>
      <c r="M64" s="9"/>
      <c r="N64" s="8"/>
      <c r="O64" s="8"/>
      <c r="P64" s="9"/>
      <c r="Q64" s="7"/>
      <c r="R64" s="7"/>
      <c r="S64" s="7"/>
    </row>
    <row r="65" spans="1:19" ht="12.75">
      <c r="A65" s="6" t="s">
        <v>183</v>
      </c>
      <c r="C65" s="7" t="s">
        <v>37</v>
      </c>
      <c r="D65" s="9"/>
      <c r="E65" s="15">
        <f>E47+E63</f>
        <v>76.508</v>
      </c>
      <c r="F65" s="15">
        <f>F47+F63</f>
        <v>76.508</v>
      </c>
      <c r="G65" s="9"/>
      <c r="H65" s="15">
        <f>H47+H63</f>
        <v>199.62372241545893</v>
      </c>
      <c r="I65" s="15">
        <f>I47+I63</f>
        <v>205.1133747818841</v>
      </c>
      <c r="J65" s="9"/>
      <c r="K65" s="15">
        <f>K47+K63</f>
        <v>297.19971166666664</v>
      </c>
      <c r="L65" s="15">
        <f>L47+L63</f>
        <v>313.84289552</v>
      </c>
      <c r="M65" s="9"/>
      <c r="N65" s="15">
        <f>N47+N63</f>
        <v>168.2276895900492</v>
      </c>
      <c r="O65" s="15">
        <f>O47+O63</f>
        <v>182.52704320520337</v>
      </c>
      <c r="P65" s="9"/>
      <c r="Q65" s="15">
        <f>Q47+Q63</f>
        <v>741.5591236721748</v>
      </c>
      <c r="R65" s="18">
        <f>R47+R63</f>
        <v>777.9913135070874</v>
      </c>
      <c r="S65" s="7"/>
    </row>
    <row r="66" spans="3:19" ht="12.75">
      <c r="C66" s="7"/>
      <c r="D66" s="9"/>
      <c r="E66" s="15"/>
      <c r="F66" s="8"/>
      <c r="G66" s="9"/>
      <c r="H66" s="8"/>
      <c r="I66" s="8"/>
      <c r="J66" s="9"/>
      <c r="K66" s="8"/>
      <c r="L66" s="8"/>
      <c r="M66" s="9"/>
      <c r="N66" s="8"/>
      <c r="O66" s="8"/>
      <c r="P66" s="9"/>
      <c r="Q66" s="7"/>
      <c r="R66" s="7"/>
      <c r="S66" s="7"/>
    </row>
    <row r="67" spans="3:19" ht="12.75">
      <c r="C67" s="7"/>
      <c r="D67" s="7"/>
      <c r="E67" s="10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7" s="3" customFormat="1" ht="12.75">
      <c r="A68" s="6" t="s">
        <v>62</v>
      </c>
      <c r="D68" s="4"/>
      <c r="E68" s="16"/>
      <c r="F68" s="5"/>
      <c r="H68" s="5"/>
      <c r="I68" s="5"/>
      <c r="K68" s="5"/>
      <c r="L68" s="5"/>
      <c r="N68" s="5"/>
      <c r="O68" s="5"/>
      <c r="Q68" s="5"/>
    </row>
    <row r="69" spans="1:18" ht="12.75">
      <c r="A69" t="s">
        <v>103</v>
      </c>
      <c r="B69" t="s">
        <v>55</v>
      </c>
      <c r="C69" t="s">
        <v>45</v>
      </c>
      <c r="D69" s="1">
        <v>1</v>
      </c>
      <c r="E69" s="12"/>
      <c r="F69" s="1"/>
      <c r="G69" s="1">
        <v>1</v>
      </c>
      <c r="H69" s="1"/>
      <c r="I69" s="1"/>
      <c r="J69" s="1">
        <v>1</v>
      </c>
      <c r="K69" s="1"/>
      <c r="L69" s="1"/>
      <c r="M69" s="1">
        <v>1</v>
      </c>
      <c r="N69" s="1"/>
      <c r="O69" s="1"/>
      <c r="P69" s="8">
        <f>D69+G69+J69</f>
        <v>3</v>
      </c>
      <c r="Q69" s="1"/>
      <c r="R69" t="s">
        <v>56</v>
      </c>
    </row>
    <row r="70" spans="1:17" ht="12.75">
      <c r="A70" t="s">
        <v>111</v>
      </c>
      <c r="B70" t="s">
        <v>24</v>
      </c>
      <c r="C70" s="7" t="s">
        <v>45</v>
      </c>
      <c r="D70" s="8">
        <v>0</v>
      </c>
      <c r="E70" s="12"/>
      <c r="F70" s="1"/>
      <c r="G70" s="8">
        <v>1</v>
      </c>
      <c r="H70" s="1"/>
      <c r="I70" s="1"/>
      <c r="J70" s="8">
        <v>4</v>
      </c>
      <c r="K70" s="1"/>
      <c r="L70" s="1"/>
      <c r="M70" s="1">
        <v>2</v>
      </c>
      <c r="N70" s="1"/>
      <c r="O70" s="1"/>
      <c r="P70" s="8">
        <f aca="true" t="shared" si="11" ref="P70:P75">D70+G70+J70</f>
        <v>5</v>
      </c>
      <c r="Q70" s="1"/>
    </row>
    <row r="71" spans="1:17" ht="12.75">
      <c r="A71" t="s">
        <v>105</v>
      </c>
      <c r="B71" t="s">
        <v>55</v>
      </c>
      <c r="C71" t="s">
        <v>14</v>
      </c>
      <c r="D71" s="1">
        <v>0</v>
      </c>
      <c r="E71" s="12"/>
      <c r="F71" s="1"/>
      <c r="G71" s="1">
        <v>1</v>
      </c>
      <c r="H71" s="1"/>
      <c r="I71" s="1"/>
      <c r="J71" s="1">
        <v>1</v>
      </c>
      <c r="K71" s="1"/>
      <c r="L71" s="1"/>
      <c r="M71" s="1">
        <v>1</v>
      </c>
      <c r="N71" s="1"/>
      <c r="O71" s="1"/>
      <c r="P71" s="8">
        <f t="shared" si="11"/>
        <v>2</v>
      </c>
      <c r="Q71" s="1"/>
    </row>
    <row r="72" spans="1:17" ht="12.75">
      <c r="A72" t="s">
        <v>141</v>
      </c>
      <c r="B72" t="s">
        <v>54</v>
      </c>
      <c r="C72" t="s">
        <v>14</v>
      </c>
      <c r="D72" s="1">
        <v>0</v>
      </c>
      <c r="E72" s="12"/>
      <c r="F72" s="1"/>
      <c r="G72" s="1">
        <v>0</v>
      </c>
      <c r="H72" s="1"/>
      <c r="I72" s="1"/>
      <c r="J72" s="1">
        <v>7</v>
      </c>
      <c r="K72" s="1"/>
      <c r="L72" s="1"/>
      <c r="M72" s="1">
        <v>3</v>
      </c>
      <c r="N72" s="1"/>
      <c r="O72" s="1"/>
      <c r="P72" s="8">
        <f t="shared" si="11"/>
        <v>7</v>
      </c>
      <c r="Q72" s="1"/>
    </row>
    <row r="73" spans="1:17" ht="12.75">
      <c r="A73" t="s">
        <v>119</v>
      </c>
      <c r="B73" t="s">
        <v>55</v>
      </c>
      <c r="C73" t="s">
        <v>42</v>
      </c>
      <c r="D73" s="1">
        <v>1</v>
      </c>
      <c r="E73" s="12"/>
      <c r="F73" s="1"/>
      <c r="G73" s="1">
        <v>1</v>
      </c>
      <c r="H73" s="1"/>
      <c r="I73" s="1"/>
      <c r="J73" s="1">
        <v>1</v>
      </c>
      <c r="K73" s="1"/>
      <c r="L73" s="1"/>
      <c r="M73" s="1">
        <v>1</v>
      </c>
      <c r="N73" s="1"/>
      <c r="O73" s="1"/>
      <c r="P73" s="8">
        <f t="shared" si="11"/>
        <v>3</v>
      </c>
      <c r="Q73" s="1"/>
    </row>
    <row r="74" spans="1:17" ht="12.75">
      <c r="A74" t="s">
        <v>120</v>
      </c>
      <c r="B74" t="s">
        <v>55</v>
      </c>
      <c r="C74" t="s">
        <v>50</v>
      </c>
      <c r="D74" s="1">
        <v>2</v>
      </c>
      <c r="E74" s="12"/>
      <c r="F74" s="1"/>
      <c r="G74" s="1">
        <v>2</v>
      </c>
      <c r="H74" s="1"/>
      <c r="I74" s="1"/>
      <c r="J74" s="1">
        <v>2</v>
      </c>
      <c r="K74" s="1"/>
      <c r="L74" s="1"/>
      <c r="M74" s="1">
        <v>1</v>
      </c>
      <c r="N74" s="1"/>
      <c r="O74" s="1"/>
      <c r="P74" s="8">
        <f t="shared" si="11"/>
        <v>6</v>
      </c>
      <c r="Q74" s="1"/>
    </row>
    <row r="75" spans="1:18" ht="12.75">
      <c r="A75" t="s">
        <v>107</v>
      </c>
      <c r="B75" t="s">
        <v>55</v>
      </c>
      <c r="C75" t="s">
        <v>48</v>
      </c>
      <c r="D75" s="1">
        <v>2</v>
      </c>
      <c r="E75" s="12"/>
      <c r="F75" s="1"/>
      <c r="G75" s="1">
        <v>2</v>
      </c>
      <c r="H75" s="1"/>
      <c r="I75" s="1"/>
      <c r="J75" s="1">
        <v>2</v>
      </c>
      <c r="K75" s="1"/>
      <c r="L75" s="1"/>
      <c r="M75" s="1">
        <v>1</v>
      </c>
      <c r="N75" s="1"/>
      <c r="O75" s="1"/>
      <c r="P75" s="8">
        <f t="shared" si="11"/>
        <v>6</v>
      </c>
      <c r="Q75" s="1"/>
      <c r="R75" t="s">
        <v>56</v>
      </c>
    </row>
    <row r="76" spans="1:18" ht="12.75">
      <c r="A76" t="s">
        <v>121</v>
      </c>
      <c r="B76" t="s">
        <v>55</v>
      </c>
      <c r="C76" t="s">
        <v>48</v>
      </c>
      <c r="D76" s="1">
        <v>2</v>
      </c>
      <c r="E76" s="12"/>
      <c r="F76" s="1"/>
      <c r="G76" s="1">
        <v>2</v>
      </c>
      <c r="H76" s="1"/>
      <c r="I76" s="1"/>
      <c r="J76" s="1">
        <v>2</v>
      </c>
      <c r="K76" s="1"/>
      <c r="L76" s="1"/>
      <c r="M76" s="1">
        <v>1</v>
      </c>
      <c r="N76" s="1"/>
      <c r="O76" s="1"/>
      <c r="P76" s="8">
        <f>D76+G76+J76</f>
        <v>6</v>
      </c>
      <c r="Q76" s="1"/>
      <c r="R76" t="s">
        <v>56</v>
      </c>
    </row>
    <row r="77" spans="4:16" ht="12.75">
      <c r="D77" s="1">
        <f>SUM(D69:D76)</f>
        <v>8</v>
      </c>
      <c r="G77" s="1">
        <f>SUM(G69:G76)</f>
        <v>10</v>
      </c>
      <c r="J77" s="1">
        <f>SUM(J69:J76)</f>
        <v>20</v>
      </c>
      <c r="M77" s="1">
        <f>SUM(M69:M76)</f>
        <v>11</v>
      </c>
      <c r="P77" s="1">
        <f>SUM(P69:P76)</f>
        <v>38</v>
      </c>
    </row>
  </sheetData>
  <printOptions/>
  <pageMargins left="0.75" right="0.75" top="1" bottom="1" header="0.5" footer="0.5"/>
  <pageSetup fitToHeight="1" fitToWidth="1"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6.57421875" style="0" customWidth="1"/>
    <col min="3" max="3" width="11.28125" style="0" customWidth="1"/>
    <col min="4" max="4" width="7.7109375" style="0" customWidth="1"/>
    <col min="5" max="5" width="7.7109375" style="2" customWidth="1"/>
    <col min="6" max="18" width="7.7109375" style="0" customWidth="1"/>
  </cols>
  <sheetData>
    <row r="1" spans="1:19" ht="12.75">
      <c r="A1" t="s">
        <v>38</v>
      </c>
      <c r="D1" s="2"/>
      <c r="F1" s="2" t="s">
        <v>1</v>
      </c>
      <c r="G1" s="2"/>
      <c r="I1" s="2" t="s">
        <v>2</v>
      </c>
      <c r="J1" s="2"/>
      <c r="L1" s="2" t="s">
        <v>3</v>
      </c>
      <c r="M1" s="2"/>
      <c r="O1" s="2" t="s">
        <v>176</v>
      </c>
      <c r="P1" s="2" t="s">
        <v>4</v>
      </c>
      <c r="Q1" s="2" t="s">
        <v>4</v>
      </c>
      <c r="R1" s="13" t="s">
        <v>95</v>
      </c>
      <c r="S1" s="2" t="s">
        <v>147</v>
      </c>
    </row>
    <row r="2" ht="12.75">
      <c r="A2" s="6" t="s">
        <v>180</v>
      </c>
    </row>
    <row r="3" spans="1:19" ht="12.75">
      <c r="A3" t="s">
        <v>0</v>
      </c>
      <c r="B3" t="s">
        <v>22</v>
      </c>
      <c r="C3" s="7" t="s">
        <v>11</v>
      </c>
      <c r="D3" s="10" t="s">
        <v>177</v>
      </c>
      <c r="E3" s="14" t="s">
        <v>9</v>
      </c>
      <c r="F3" s="14" t="s">
        <v>178</v>
      </c>
      <c r="G3" s="10" t="s">
        <v>177</v>
      </c>
      <c r="H3" s="14" t="s">
        <v>9</v>
      </c>
      <c r="I3" s="14" t="s">
        <v>178</v>
      </c>
      <c r="J3" s="10" t="s">
        <v>177</v>
      </c>
      <c r="K3" s="14" t="s">
        <v>9</v>
      </c>
      <c r="L3" s="14" t="s">
        <v>178</v>
      </c>
      <c r="M3" s="10" t="s">
        <v>177</v>
      </c>
      <c r="N3" s="14" t="s">
        <v>9</v>
      </c>
      <c r="O3" s="14" t="s">
        <v>178</v>
      </c>
      <c r="P3" s="10" t="s">
        <v>177</v>
      </c>
      <c r="Q3" s="14" t="s">
        <v>9</v>
      </c>
      <c r="R3" s="14" t="s">
        <v>178</v>
      </c>
      <c r="S3" s="7"/>
    </row>
    <row r="4" spans="1:19" ht="12.75">
      <c r="A4" t="s">
        <v>123</v>
      </c>
      <c r="B4" t="s">
        <v>23</v>
      </c>
      <c r="C4" s="7" t="s">
        <v>16</v>
      </c>
      <c r="D4" s="8">
        <v>0</v>
      </c>
      <c r="E4" s="15">
        <f>D4*Staff!$D$5</f>
        <v>0</v>
      </c>
      <c r="F4" s="8">
        <f>E4</f>
        <v>0</v>
      </c>
      <c r="G4" s="8">
        <v>2</v>
      </c>
      <c r="H4" s="15">
        <f>G4*Staff!$E$5</f>
        <v>6.64008</v>
      </c>
      <c r="I4" s="8">
        <f>Totals!$C$11*H4</f>
        <v>6.822682200000001</v>
      </c>
      <c r="J4" s="8">
        <v>3</v>
      </c>
      <c r="K4" s="15">
        <f>J4*Staff!$F$5</f>
        <v>10.471485</v>
      </c>
      <c r="L4" s="8">
        <f>Totals!$D$11*K4</f>
        <v>11.05788816</v>
      </c>
      <c r="M4" s="8">
        <v>2</v>
      </c>
      <c r="N4" s="15">
        <f>M4*Staff!$G$5</f>
        <v>7.24087</v>
      </c>
      <c r="O4" s="8">
        <f>Totals!$E$11*N4</f>
        <v>7.85634395</v>
      </c>
      <c r="P4" s="8">
        <f>D4+G4+J4+M4</f>
        <v>7</v>
      </c>
      <c r="Q4" s="8">
        <f>E4+H4+K4+N4</f>
        <v>24.352435</v>
      </c>
      <c r="R4" s="8">
        <f>F4+I4+L4+O4</f>
        <v>25.73691431</v>
      </c>
      <c r="S4" s="7"/>
    </row>
    <row r="5" spans="1:18" s="7" customFormat="1" ht="12.75">
      <c r="A5" s="7" t="s">
        <v>99</v>
      </c>
      <c r="B5" s="7" t="s">
        <v>23</v>
      </c>
      <c r="C5" s="7" t="s">
        <v>14</v>
      </c>
      <c r="D5" s="8">
        <v>0</v>
      </c>
      <c r="E5" s="15">
        <f>D5*Staff!$D$7</f>
        <v>0</v>
      </c>
      <c r="F5" s="8">
        <f>E5</f>
        <v>0</v>
      </c>
      <c r="G5" s="8">
        <v>3</v>
      </c>
      <c r="H5" s="15">
        <f>G5*Staff!$E$7</f>
        <v>11.681095</v>
      </c>
      <c r="I5" s="8">
        <f>Totals!$C$11*H5</f>
        <v>12.0023251125</v>
      </c>
      <c r="J5" s="8">
        <v>6</v>
      </c>
      <c r="K5" s="15">
        <f>J5*Staff!$F$7</f>
        <v>23.997289999999996</v>
      </c>
      <c r="L5" s="8">
        <f>Totals!$D$11*K5</f>
        <v>25.341138239999996</v>
      </c>
      <c r="M5" s="8">
        <v>3</v>
      </c>
      <c r="N5" s="15">
        <f>M5*Staff!$G$7</f>
        <v>12.307070000000001</v>
      </c>
      <c r="O5" s="8">
        <f>Totals!$E$11*N5</f>
        <v>13.35317095</v>
      </c>
      <c r="P5" s="8">
        <f aca="true" t="shared" si="0" ref="P5:P10">D5+G5+J5+M5</f>
        <v>12</v>
      </c>
      <c r="Q5" s="8">
        <f aca="true" t="shared" si="1" ref="Q5:Q11">E5+H5+K5+N5</f>
        <v>47.985454999999995</v>
      </c>
      <c r="R5" s="8">
        <f aca="true" t="shared" si="2" ref="R5:R11">F5+I5+L5+O5</f>
        <v>50.696634302499994</v>
      </c>
    </row>
    <row r="6" spans="1:19" ht="12.75">
      <c r="A6" t="s">
        <v>125</v>
      </c>
      <c r="B6" t="s">
        <v>21</v>
      </c>
      <c r="C6" s="7" t="s">
        <v>12</v>
      </c>
      <c r="D6" s="8">
        <v>1</v>
      </c>
      <c r="E6" s="15">
        <f>D6*Staff!$D$9</f>
        <v>10.885</v>
      </c>
      <c r="F6" s="8">
        <f>E6</f>
        <v>10.885</v>
      </c>
      <c r="G6" s="8">
        <v>1</v>
      </c>
      <c r="H6" s="15">
        <f>G6*Staff!$E$9</f>
        <v>11.196</v>
      </c>
      <c r="I6" s="8">
        <f>Totals!$C$11*H6</f>
        <v>11.50389</v>
      </c>
      <c r="J6" s="8">
        <v>1</v>
      </c>
      <c r="K6" s="15">
        <f>J6*Staff!$F$9</f>
        <v>11.504</v>
      </c>
      <c r="L6" s="8">
        <f>Totals!$D$11*K6</f>
        <v>12.148224</v>
      </c>
      <c r="M6" s="8">
        <v>1</v>
      </c>
      <c r="N6" s="15">
        <f>M6*Staff!$G$9</f>
        <v>11.815</v>
      </c>
      <c r="O6" s="8">
        <f>Totals!$E$11*N6</f>
        <v>12.819275</v>
      </c>
      <c r="P6" s="8">
        <f t="shared" si="0"/>
        <v>4</v>
      </c>
      <c r="Q6" s="8">
        <f t="shared" si="1"/>
        <v>45.4</v>
      </c>
      <c r="R6" s="8">
        <f t="shared" si="2"/>
        <v>47.356389</v>
      </c>
      <c r="S6" s="7"/>
    </row>
    <row r="7" spans="1:19" ht="12.75">
      <c r="A7" t="s">
        <v>146</v>
      </c>
      <c r="B7" t="s">
        <v>21</v>
      </c>
      <c r="C7" s="7" t="s">
        <v>12</v>
      </c>
      <c r="D7" s="8">
        <v>3</v>
      </c>
      <c r="E7" s="15">
        <f>D7*Staff!$D$8</f>
        <v>17.07675</v>
      </c>
      <c r="F7" s="8">
        <f>E7</f>
        <v>17.07675</v>
      </c>
      <c r="G7" s="8">
        <v>12</v>
      </c>
      <c r="H7" s="15">
        <f>G7*Staff!$E$8</f>
        <v>70.983</v>
      </c>
      <c r="I7" s="8">
        <f>Totals!$C$11*H7</f>
        <v>72.9350325</v>
      </c>
      <c r="J7" s="8">
        <v>12</v>
      </c>
      <c r="K7" s="15">
        <f>J7*Staff!$F$8</f>
        <v>73.662</v>
      </c>
      <c r="L7" s="8">
        <f>Totals!$D$11*K7</f>
        <v>77.78707200000001</v>
      </c>
      <c r="M7" s="8">
        <v>9</v>
      </c>
      <c r="N7" s="15">
        <f>M7*Staff!$G$8</f>
        <v>57.255</v>
      </c>
      <c r="O7" s="8">
        <f>Totals!$E$11*N7</f>
        <v>62.121675</v>
      </c>
      <c r="P7" s="8">
        <f t="shared" si="0"/>
        <v>36</v>
      </c>
      <c r="Q7" s="8">
        <f t="shared" si="1"/>
        <v>218.97675</v>
      </c>
      <c r="R7" s="8">
        <f t="shared" si="2"/>
        <v>229.92052950000001</v>
      </c>
      <c r="S7" s="7"/>
    </row>
    <row r="8" spans="1:19" ht="12.75">
      <c r="A8" t="s">
        <v>142</v>
      </c>
      <c r="B8" t="s">
        <v>21</v>
      </c>
      <c r="C8" s="7" t="s">
        <v>13</v>
      </c>
      <c r="D8" s="8">
        <v>0</v>
      </c>
      <c r="E8" s="15">
        <f>D8*Staff!$D$11</f>
        <v>0</v>
      </c>
      <c r="F8" s="8">
        <v>0</v>
      </c>
      <c r="G8" s="8">
        <v>5</v>
      </c>
      <c r="H8" s="15">
        <f>G8*Staff!$E$11</f>
        <v>32.5</v>
      </c>
      <c r="I8" s="8">
        <f>Totals!$C$11*H8</f>
        <v>33.393750000000004</v>
      </c>
      <c r="J8" s="8">
        <v>5</v>
      </c>
      <c r="K8" s="15">
        <f>J8*Staff!$F$11</f>
        <v>32.5</v>
      </c>
      <c r="L8" s="8">
        <f>Totals!$D$11*K8</f>
        <v>34.32</v>
      </c>
      <c r="M8" s="8">
        <v>5</v>
      </c>
      <c r="N8" s="15">
        <f>M8*Staff!$G$11</f>
        <v>32.5</v>
      </c>
      <c r="O8" s="8">
        <f>Totals!$E$11*N8</f>
        <v>35.262499999999996</v>
      </c>
      <c r="P8" s="8">
        <f t="shared" si="0"/>
        <v>15</v>
      </c>
      <c r="Q8" s="8">
        <f t="shared" si="1"/>
        <v>97.5</v>
      </c>
      <c r="R8" s="8">
        <f t="shared" si="2"/>
        <v>102.97625</v>
      </c>
      <c r="S8" s="7"/>
    </row>
    <row r="9" spans="1:19" ht="12.75">
      <c r="A9" t="s">
        <v>126</v>
      </c>
      <c r="B9" t="s">
        <v>23</v>
      </c>
      <c r="C9" s="7" t="s">
        <v>13</v>
      </c>
      <c r="D9" s="8">
        <v>0</v>
      </c>
      <c r="E9" s="15">
        <f>D9*Staff!$D$10</f>
        <v>0</v>
      </c>
      <c r="F9" s="8">
        <v>0</v>
      </c>
      <c r="G9" s="8">
        <v>1</v>
      </c>
      <c r="H9" s="15">
        <f>G9*Staff!$E$10</f>
        <v>6.5</v>
      </c>
      <c r="I9" s="8">
        <f>Totals!$C$11*H9</f>
        <v>6.678750000000001</v>
      </c>
      <c r="J9" s="8">
        <v>1</v>
      </c>
      <c r="K9" s="15">
        <f>J9*Staff!$F$10</f>
        <v>6.5</v>
      </c>
      <c r="L9" s="8">
        <f>Totals!$D$11*K9</f>
        <v>6.864000000000001</v>
      </c>
      <c r="M9" s="8">
        <v>1</v>
      </c>
      <c r="N9" s="15">
        <f>M9*Staff!$G$10</f>
        <v>6.5</v>
      </c>
      <c r="O9" s="8">
        <f>Totals!$E$11*N9</f>
        <v>7.0525</v>
      </c>
      <c r="P9" s="8">
        <f t="shared" si="0"/>
        <v>3</v>
      </c>
      <c r="Q9" s="8">
        <f t="shared" si="1"/>
        <v>19.5</v>
      </c>
      <c r="R9" s="8">
        <f t="shared" si="2"/>
        <v>20.59525</v>
      </c>
      <c r="S9" s="7"/>
    </row>
    <row r="10" spans="1:19" ht="12.75">
      <c r="A10" t="s">
        <v>143</v>
      </c>
      <c r="B10" t="s">
        <v>23</v>
      </c>
      <c r="C10" s="7" t="s">
        <v>13</v>
      </c>
      <c r="D10" s="8">
        <v>0</v>
      </c>
      <c r="E10" s="15">
        <f>D10*Staff!$D$12</f>
        <v>0</v>
      </c>
      <c r="F10" s="8">
        <v>0</v>
      </c>
      <c r="G10" s="8">
        <v>0</v>
      </c>
      <c r="H10" s="15">
        <f>G10*Staff!$E$12</f>
        <v>0</v>
      </c>
      <c r="I10" s="8">
        <f>Totals!$C$11*H10</f>
        <v>0</v>
      </c>
      <c r="J10" s="8">
        <v>12</v>
      </c>
      <c r="K10" s="15">
        <f>J10*Staff!$F$12</f>
        <v>59</v>
      </c>
      <c r="L10" s="8">
        <f>Totals!$D$11*K10</f>
        <v>62.304</v>
      </c>
      <c r="M10" s="8">
        <v>12</v>
      </c>
      <c r="N10" s="15">
        <f>M10*Staff!$G$12</f>
        <v>59</v>
      </c>
      <c r="O10" s="8">
        <f>Totals!$E$11*N10</f>
        <v>64.015</v>
      </c>
      <c r="P10" s="8">
        <f t="shared" si="0"/>
        <v>24</v>
      </c>
      <c r="Q10" s="8">
        <f t="shared" si="1"/>
        <v>118</v>
      </c>
      <c r="R10" s="8">
        <f t="shared" si="2"/>
        <v>126.319</v>
      </c>
      <c r="S10" s="7"/>
    </row>
    <row r="11" spans="3:19" ht="12.75">
      <c r="C11" s="7" t="s">
        <v>29</v>
      </c>
      <c r="D11" s="8">
        <f aca="true" t="shared" si="3" ref="D11:O11">SUM(D4:D10)</f>
        <v>4</v>
      </c>
      <c r="E11" s="15">
        <f t="shared" si="3"/>
        <v>27.961750000000002</v>
      </c>
      <c r="F11" s="15">
        <f t="shared" si="3"/>
        <v>27.961750000000002</v>
      </c>
      <c r="G11" s="8">
        <f t="shared" si="3"/>
        <v>24</v>
      </c>
      <c r="H11" s="8">
        <f t="shared" si="3"/>
        <v>139.500175</v>
      </c>
      <c r="I11" s="15">
        <f t="shared" si="3"/>
        <v>143.33642981250003</v>
      </c>
      <c r="J11" s="8">
        <f t="shared" si="3"/>
        <v>40</v>
      </c>
      <c r="K11" s="8">
        <f t="shared" si="3"/>
        <v>217.634775</v>
      </c>
      <c r="L11" s="15">
        <f t="shared" si="3"/>
        <v>229.82232240000002</v>
      </c>
      <c r="M11" s="8">
        <f t="shared" si="3"/>
        <v>33</v>
      </c>
      <c r="N11" s="8">
        <f t="shared" si="3"/>
        <v>186.61794</v>
      </c>
      <c r="O11" s="15">
        <f t="shared" si="3"/>
        <v>202.48046490000002</v>
      </c>
      <c r="P11" s="8">
        <f>D11+G11+J11+M11</f>
        <v>101</v>
      </c>
      <c r="Q11" s="8">
        <f t="shared" si="1"/>
        <v>571.71464</v>
      </c>
      <c r="R11" s="8">
        <f t="shared" si="2"/>
        <v>603.6009671125</v>
      </c>
      <c r="S11" s="7"/>
    </row>
    <row r="12" spans="3:19" ht="12.75">
      <c r="C12" s="7"/>
      <c r="D12" s="9"/>
      <c r="E12" s="15"/>
      <c r="F12" s="8"/>
      <c r="G12" s="9"/>
      <c r="H12" s="8"/>
      <c r="I12" s="8"/>
      <c r="J12" s="9"/>
      <c r="K12" s="8"/>
      <c r="L12" s="8"/>
      <c r="M12" s="9"/>
      <c r="N12" s="8"/>
      <c r="O12" s="8"/>
      <c r="P12" s="9"/>
      <c r="Q12" s="7"/>
      <c r="R12" s="7"/>
      <c r="S12" s="7"/>
    </row>
    <row r="13" spans="1:19" ht="12.75">
      <c r="A13" s="6" t="s">
        <v>17</v>
      </c>
      <c r="C13" s="7"/>
      <c r="D13" s="7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7" t="s">
        <v>26</v>
      </c>
      <c r="C14" s="7"/>
      <c r="D14" s="7"/>
      <c r="E14" s="7">
        <v>0</v>
      </c>
      <c r="F14" s="8">
        <f aca="true" t="shared" si="4" ref="F14:F21">E14</f>
        <v>0</v>
      </c>
      <c r="G14" s="7"/>
      <c r="H14" s="7">
        <v>0</v>
      </c>
      <c r="I14" s="8">
        <f>Totals!$C$11*H14</f>
        <v>0</v>
      </c>
      <c r="J14" s="7"/>
      <c r="K14" s="7">
        <v>76</v>
      </c>
      <c r="L14" s="8">
        <f>Totals!$D$11*K14</f>
        <v>80.256</v>
      </c>
      <c r="M14" s="7"/>
      <c r="N14" s="7">
        <v>0</v>
      </c>
      <c r="O14" s="8">
        <f>Totals!$E$11*N14</f>
        <v>0</v>
      </c>
      <c r="P14" s="7"/>
      <c r="Q14" s="8">
        <f aca="true" t="shared" si="5" ref="Q14:Q21">E14+H14+K14+N14</f>
        <v>76</v>
      </c>
      <c r="R14" s="8">
        <f>F14+I14+L14+O14</f>
        <v>80.256</v>
      </c>
      <c r="S14" s="7"/>
    </row>
    <row r="15" spans="1:19" ht="12.75">
      <c r="A15" s="7" t="s">
        <v>156</v>
      </c>
      <c r="C15" s="7"/>
      <c r="D15" s="7"/>
      <c r="E15" s="7">
        <v>0</v>
      </c>
      <c r="F15" s="8">
        <f t="shared" si="4"/>
        <v>0</v>
      </c>
      <c r="G15" s="7"/>
      <c r="H15" s="7">
        <v>0</v>
      </c>
      <c r="I15" s="8">
        <f>Totals!$C$11*H15</f>
        <v>0</v>
      </c>
      <c r="J15" s="7"/>
      <c r="K15" s="7">
        <v>3</v>
      </c>
      <c r="L15" s="8">
        <f>Totals!$D$11*K15</f>
        <v>3.168</v>
      </c>
      <c r="M15" s="7"/>
      <c r="N15" s="7">
        <v>0</v>
      </c>
      <c r="O15" s="8">
        <f>Totals!$E$11*N15</f>
        <v>0</v>
      </c>
      <c r="P15" s="7"/>
      <c r="Q15" s="8">
        <f t="shared" si="5"/>
        <v>3</v>
      </c>
      <c r="R15" s="8">
        <f aca="true" t="shared" si="6" ref="R15:R22">F15+I15+L15+O15</f>
        <v>3.168</v>
      </c>
      <c r="S15" s="7" t="s">
        <v>148</v>
      </c>
    </row>
    <row r="16" spans="1:19" ht="12.75">
      <c r="A16" s="7" t="s">
        <v>154</v>
      </c>
      <c r="C16" s="7"/>
      <c r="D16" s="7"/>
      <c r="E16" s="7">
        <v>0</v>
      </c>
      <c r="F16" s="8">
        <f t="shared" si="4"/>
        <v>0</v>
      </c>
      <c r="G16" s="7"/>
      <c r="H16" s="7">
        <v>2</v>
      </c>
      <c r="I16" s="8">
        <f>Totals!$C$11*H16</f>
        <v>2.055</v>
      </c>
      <c r="J16" s="7"/>
      <c r="K16" s="7">
        <v>3</v>
      </c>
      <c r="L16" s="8">
        <f>Totals!$D$11*K16</f>
        <v>3.168</v>
      </c>
      <c r="M16" s="7"/>
      <c r="N16" s="7">
        <v>0</v>
      </c>
      <c r="O16" s="8">
        <f>Totals!$E$11*N16</f>
        <v>0</v>
      </c>
      <c r="P16" s="7"/>
      <c r="Q16" s="8">
        <f t="shared" si="5"/>
        <v>5</v>
      </c>
      <c r="R16" s="8">
        <f t="shared" si="6"/>
        <v>5.223000000000001</v>
      </c>
      <c r="S16" s="7"/>
    </row>
    <row r="17" spans="1:19" ht="12.75">
      <c r="A17" s="7" t="s">
        <v>153</v>
      </c>
      <c r="C17" s="7"/>
      <c r="D17" s="7"/>
      <c r="E17" s="7">
        <v>0</v>
      </c>
      <c r="F17" s="8">
        <f t="shared" si="4"/>
        <v>0</v>
      </c>
      <c r="G17" s="7"/>
      <c r="H17" s="7">
        <v>1</v>
      </c>
      <c r="I17" s="8">
        <f>Totals!$C$11*H17</f>
        <v>1.0275</v>
      </c>
      <c r="J17" s="7"/>
      <c r="K17" s="7">
        <v>2</v>
      </c>
      <c r="L17" s="8">
        <f>Totals!$D$11*K17</f>
        <v>2.112</v>
      </c>
      <c r="M17" s="7"/>
      <c r="N17" s="7">
        <v>0</v>
      </c>
      <c r="O17" s="8">
        <f>Totals!$E$11*N17</f>
        <v>0</v>
      </c>
      <c r="P17" s="7"/>
      <c r="Q17" s="8">
        <f t="shared" si="5"/>
        <v>3</v>
      </c>
      <c r="R17" s="8">
        <f t="shared" si="6"/>
        <v>3.1395</v>
      </c>
      <c r="S17" s="7" t="s">
        <v>149</v>
      </c>
    </row>
    <row r="18" spans="1:19" ht="12.75">
      <c r="A18" s="7" t="s">
        <v>27</v>
      </c>
      <c r="C18" s="7"/>
      <c r="D18" s="7"/>
      <c r="E18" s="7">
        <v>0</v>
      </c>
      <c r="F18" s="8">
        <f t="shared" si="4"/>
        <v>0</v>
      </c>
      <c r="G18" s="7"/>
      <c r="H18" s="7">
        <v>0</v>
      </c>
      <c r="I18" s="8">
        <f>Totals!$C$11*H18</f>
        <v>0</v>
      </c>
      <c r="J18" s="7"/>
      <c r="K18" s="7">
        <v>6</v>
      </c>
      <c r="L18" s="8">
        <f>Totals!$D$11*K18</f>
        <v>6.336</v>
      </c>
      <c r="M18" s="7"/>
      <c r="N18" s="7">
        <v>0</v>
      </c>
      <c r="O18" s="8">
        <f>Totals!$E$11*N18</f>
        <v>0</v>
      </c>
      <c r="P18" s="7"/>
      <c r="Q18" s="8">
        <f t="shared" si="5"/>
        <v>6</v>
      </c>
      <c r="R18" s="8">
        <f t="shared" si="6"/>
        <v>6.336</v>
      </c>
      <c r="S18" s="7" t="s">
        <v>151</v>
      </c>
    </row>
    <row r="19" spans="1:19" ht="12.75">
      <c r="A19" s="7" t="s">
        <v>25</v>
      </c>
      <c r="C19" s="7"/>
      <c r="D19" s="7"/>
      <c r="E19" s="7">
        <v>0</v>
      </c>
      <c r="F19" s="8">
        <f t="shared" si="4"/>
        <v>0</v>
      </c>
      <c r="G19" s="7"/>
      <c r="H19" s="7">
        <v>0</v>
      </c>
      <c r="I19" s="8">
        <f>Totals!$C$11*H19</f>
        <v>0</v>
      </c>
      <c r="J19" s="7"/>
      <c r="K19" s="7">
        <v>0</v>
      </c>
      <c r="L19" s="8">
        <f>Totals!$D$11*K19</f>
        <v>0</v>
      </c>
      <c r="M19" s="7"/>
      <c r="N19" s="7">
        <v>76</v>
      </c>
      <c r="O19" s="8">
        <f>Totals!$E$11*N19</f>
        <v>82.46</v>
      </c>
      <c r="P19" s="7"/>
      <c r="Q19" s="8">
        <f t="shared" si="5"/>
        <v>76</v>
      </c>
      <c r="R19" s="8">
        <f t="shared" si="6"/>
        <v>82.46</v>
      </c>
      <c r="S19" s="7"/>
    </row>
    <row r="20" spans="1:19" ht="12.75">
      <c r="A20" s="7" t="s">
        <v>157</v>
      </c>
      <c r="C20" s="7"/>
      <c r="D20" s="7"/>
      <c r="E20" s="7">
        <v>0</v>
      </c>
      <c r="F20" s="8">
        <f t="shared" si="4"/>
        <v>0</v>
      </c>
      <c r="G20" s="7" t="s">
        <v>19</v>
      </c>
      <c r="H20" s="7">
        <v>0</v>
      </c>
      <c r="I20" s="8">
        <f>Totals!$C$11*H20</f>
        <v>0</v>
      </c>
      <c r="J20" s="7"/>
      <c r="K20" s="7">
        <v>0</v>
      </c>
      <c r="L20" s="8">
        <f>Totals!$D$11*K20</f>
        <v>0</v>
      </c>
      <c r="M20" s="7"/>
      <c r="N20" s="7">
        <v>4</v>
      </c>
      <c r="O20" s="8">
        <f>Totals!$E$11*N20</f>
        <v>4.34</v>
      </c>
      <c r="P20" s="7"/>
      <c r="Q20" s="8">
        <f t="shared" si="5"/>
        <v>4</v>
      </c>
      <c r="R20" s="8">
        <f t="shared" si="6"/>
        <v>4.34</v>
      </c>
      <c r="S20" s="7" t="s">
        <v>148</v>
      </c>
    </row>
    <row r="21" spans="1:19" ht="12.75">
      <c r="A21" s="7" t="s">
        <v>31</v>
      </c>
      <c r="C21" s="7"/>
      <c r="D21" s="7"/>
      <c r="E21" s="7">
        <v>0</v>
      </c>
      <c r="F21" s="8">
        <f t="shared" si="4"/>
        <v>0</v>
      </c>
      <c r="G21" s="7"/>
      <c r="H21" s="7">
        <v>0</v>
      </c>
      <c r="I21" s="8">
        <f>Totals!$C$11*H21</f>
        <v>0</v>
      </c>
      <c r="J21" s="7"/>
      <c r="K21" s="7">
        <v>0</v>
      </c>
      <c r="L21" s="8">
        <f>Totals!$D$11*K21</f>
        <v>0</v>
      </c>
      <c r="M21" s="7"/>
      <c r="N21" s="7">
        <v>20</v>
      </c>
      <c r="O21" s="8">
        <f>Totals!$E$11*N21</f>
        <v>21.7</v>
      </c>
      <c r="P21" s="7"/>
      <c r="Q21" s="8">
        <f t="shared" si="5"/>
        <v>20</v>
      </c>
      <c r="R21" s="8">
        <f t="shared" si="6"/>
        <v>21.7</v>
      </c>
      <c r="S21" s="7"/>
    </row>
    <row r="22" spans="1:19" ht="12.75">
      <c r="A22" s="7"/>
      <c r="C22" s="7" t="s">
        <v>28</v>
      </c>
      <c r="D22" s="7"/>
      <c r="E22" s="15">
        <f>SUM(E14:E21)</f>
        <v>0</v>
      </c>
      <c r="F22" s="15">
        <f>SUM(F14:F21)</f>
        <v>0</v>
      </c>
      <c r="G22" s="7"/>
      <c r="H22" s="15">
        <f>SUM(H14:H21)</f>
        <v>3</v>
      </c>
      <c r="I22" s="15">
        <f>SUM(I14:I21)</f>
        <v>3.0825000000000005</v>
      </c>
      <c r="J22" s="7"/>
      <c r="K22" s="8">
        <f>SUM(K14:K21)</f>
        <v>90</v>
      </c>
      <c r="L22" s="15">
        <f>SUM(L14:L21)</f>
        <v>95.04</v>
      </c>
      <c r="M22" s="7"/>
      <c r="N22" s="8">
        <f>SUM(N14:N21)</f>
        <v>100</v>
      </c>
      <c r="O22" s="15">
        <f>SUM(O14:O21)</f>
        <v>108.5</v>
      </c>
      <c r="P22" s="7"/>
      <c r="Q22" s="8">
        <f>E22+H22+K22+N22</f>
        <v>193</v>
      </c>
      <c r="R22" s="8">
        <f t="shared" si="6"/>
        <v>206.6225</v>
      </c>
      <c r="S22" s="7"/>
    </row>
    <row r="23" spans="1:19" ht="12.75">
      <c r="A23" s="7"/>
      <c r="C23" s="7"/>
      <c r="D23" s="7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7"/>
      <c r="S23" s="7"/>
    </row>
    <row r="24" spans="1:19" ht="12.75">
      <c r="A24" s="6" t="s">
        <v>30</v>
      </c>
      <c r="C24" s="7"/>
      <c r="D24" s="7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7"/>
      <c r="S24" s="7"/>
    </row>
    <row r="25" spans="1:19" ht="12.75">
      <c r="A25" s="7" t="s">
        <v>40</v>
      </c>
      <c r="C25" s="7"/>
      <c r="D25" s="7"/>
      <c r="E25" s="7">
        <v>2</v>
      </c>
      <c r="F25" s="8">
        <f aca="true" t="shared" si="7" ref="F25:F30">E25</f>
        <v>2</v>
      </c>
      <c r="G25" s="7"/>
      <c r="H25" s="7">
        <v>0</v>
      </c>
      <c r="I25" s="8">
        <f>Totals!$C$11*H25</f>
        <v>0</v>
      </c>
      <c r="J25" s="7"/>
      <c r="K25" s="7">
        <v>0</v>
      </c>
      <c r="L25" s="8">
        <f>Totals!$D$11*K25</f>
        <v>0</v>
      </c>
      <c r="M25" s="7"/>
      <c r="N25" s="7">
        <v>0</v>
      </c>
      <c r="O25" s="8">
        <f>Totals!$E$11*N25</f>
        <v>0</v>
      </c>
      <c r="P25" s="7"/>
      <c r="Q25" s="8">
        <f aca="true" t="shared" si="8" ref="Q25:Q31">E25+H25+K25+N25</f>
        <v>2</v>
      </c>
      <c r="R25" s="8">
        <f aca="true" t="shared" si="9" ref="R25:R31">F25+I25+L25+O25</f>
        <v>2</v>
      </c>
      <c r="S25" s="7"/>
    </row>
    <row r="26" spans="1:19" ht="12.75">
      <c r="A26" s="7" t="s">
        <v>155</v>
      </c>
      <c r="C26" s="7"/>
      <c r="D26" s="7"/>
      <c r="E26" s="7">
        <v>0</v>
      </c>
      <c r="F26" s="8">
        <f t="shared" si="7"/>
        <v>0</v>
      </c>
      <c r="G26" s="7"/>
      <c r="H26" s="7">
        <v>1</v>
      </c>
      <c r="I26" s="8">
        <f>Totals!$C$11*H26</f>
        <v>1.0275</v>
      </c>
      <c r="J26" s="7"/>
      <c r="K26" s="7">
        <v>1</v>
      </c>
      <c r="L26" s="8">
        <f>Totals!$D$11*K26</f>
        <v>1.056</v>
      </c>
      <c r="M26" s="7"/>
      <c r="N26" s="7">
        <v>0</v>
      </c>
      <c r="O26" s="8">
        <f>Totals!$E$11*N26</f>
        <v>0</v>
      </c>
      <c r="P26" s="7"/>
      <c r="Q26" s="8">
        <f t="shared" si="8"/>
        <v>2</v>
      </c>
      <c r="R26" s="8">
        <f t="shared" si="9"/>
        <v>2.0835</v>
      </c>
      <c r="S26" s="7" t="s">
        <v>150</v>
      </c>
    </row>
    <row r="27" spans="1:19" ht="12.75">
      <c r="A27" s="7" t="s">
        <v>135</v>
      </c>
      <c r="C27" s="7"/>
      <c r="D27" s="7"/>
      <c r="E27" s="7">
        <v>0</v>
      </c>
      <c r="F27" s="8">
        <f t="shared" si="7"/>
        <v>0</v>
      </c>
      <c r="G27" s="7"/>
      <c r="H27" s="7">
        <v>0</v>
      </c>
      <c r="I27" s="8">
        <f>Totals!$C$11*H27</f>
        <v>0</v>
      </c>
      <c r="J27" s="7"/>
      <c r="K27" s="7">
        <v>3</v>
      </c>
      <c r="L27" s="8">
        <f>Totals!$D$11*K27</f>
        <v>3.168</v>
      </c>
      <c r="M27" s="7"/>
      <c r="N27" s="7">
        <v>3</v>
      </c>
      <c r="O27" s="8">
        <f>Totals!$E$11*N27</f>
        <v>3.255</v>
      </c>
      <c r="P27" s="7"/>
      <c r="Q27" s="8">
        <f t="shared" si="8"/>
        <v>6</v>
      </c>
      <c r="R27" s="8">
        <f t="shared" si="9"/>
        <v>6.423</v>
      </c>
      <c r="S27" s="7" t="s">
        <v>172</v>
      </c>
    </row>
    <row r="28" spans="1:19" ht="12.75">
      <c r="A28" s="7" t="s">
        <v>145</v>
      </c>
      <c r="C28" s="7"/>
      <c r="D28" s="7"/>
      <c r="E28" s="7">
        <v>0</v>
      </c>
      <c r="F28" s="8">
        <f t="shared" si="7"/>
        <v>0</v>
      </c>
      <c r="G28" s="7"/>
      <c r="H28" s="7">
        <v>0</v>
      </c>
      <c r="I28" s="8">
        <f>Totals!$C$11*H28</f>
        <v>0</v>
      </c>
      <c r="J28" s="7"/>
      <c r="K28" s="7">
        <v>2</v>
      </c>
      <c r="L28" s="8">
        <f>Totals!$D$11*K28</f>
        <v>2.112</v>
      </c>
      <c r="M28" s="7"/>
      <c r="N28" s="7">
        <v>0</v>
      </c>
      <c r="O28" s="8">
        <f>Totals!$E$11*N28</f>
        <v>0</v>
      </c>
      <c r="P28" s="7"/>
      <c r="Q28" s="8">
        <f t="shared" si="8"/>
        <v>2</v>
      </c>
      <c r="R28" s="8">
        <f t="shared" si="9"/>
        <v>2.112</v>
      </c>
      <c r="S28" s="7" t="s">
        <v>152</v>
      </c>
    </row>
    <row r="29" spans="1:19" ht="12.75">
      <c r="A29" s="7" t="s">
        <v>174</v>
      </c>
      <c r="C29" s="7"/>
      <c r="D29" s="7"/>
      <c r="E29" s="7">
        <v>0</v>
      </c>
      <c r="F29" s="8">
        <f t="shared" si="7"/>
        <v>0</v>
      </c>
      <c r="G29" s="7"/>
      <c r="H29" s="7">
        <v>0</v>
      </c>
      <c r="I29" s="8">
        <f>Totals!$C$11*H29</f>
        <v>0</v>
      </c>
      <c r="J29" s="7"/>
      <c r="K29" s="7">
        <v>3</v>
      </c>
      <c r="L29" s="8">
        <f>Totals!$D$11*K29</f>
        <v>3.168</v>
      </c>
      <c r="M29" s="7"/>
      <c r="N29" s="7">
        <v>0</v>
      </c>
      <c r="O29" s="8">
        <f>Totals!$E$11*N29</f>
        <v>0</v>
      </c>
      <c r="P29" s="7"/>
      <c r="Q29" s="8">
        <f t="shared" si="8"/>
        <v>3</v>
      </c>
      <c r="R29" s="8">
        <f t="shared" si="9"/>
        <v>3.168</v>
      </c>
      <c r="S29" s="7" t="s">
        <v>175</v>
      </c>
    </row>
    <row r="30" spans="1:19" ht="12.75">
      <c r="A30" s="7" t="s">
        <v>15</v>
      </c>
      <c r="C30" s="7"/>
      <c r="D30" s="7"/>
      <c r="E30" s="7">
        <v>0</v>
      </c>
      <c r="F30" s="8">
        <f t="shared" si="7"/>
        <v>0</v>
      </c>
      <c r="G30" s="7"/>
      <c r="H30" s="7">
        <v>0</v>
      </c>
      <c r="I30" s="8">
        <f>Totals!$C$11*H30</f>
        <v>0</v>
      </c>
      <c r="J30" s="7"/>
      <c r="K30" s="7">
        <v>0</v>
      </c>
      <c r="L30" s="8">
        <f>Totals!$D$11*K30</f>
        <v>0</v>
      </c>
      <c r="M30" s="7"/>
      <c r="N30" s="7">
        <v>40</v>
      </c>
      <c r="O30" s="8">
        <f>Totals!$E$11*N30</f>
        <v>43.4</v>
      </c>
      <c r="P30" s="7"/>
      <c r="Q30" s="8">
        <f t="shared" si="8"/>
        <v>40</v>
      </c>
      <c r="R30" s="8">
        <f t="shared" si="9"/>
        <v>43.4</v>
      </c>
      <c r="S30" s="7" t="s">
        <v>173</v>
      </c>
    </row>
    <row r="31" spans="1:19" ht="12.75">
      <c r="A31" s="7"/>
      <c r="C31" s="7" t="s">
        <v>32</v>
      </c>
      <c r="D31" s="7"/>
      <c r="E31" s="10">
        <f>SUM(E25:E30)</f>
        <v>2</v>
      </c>
      <c r="F31" s="10">
        <f>SUM(F25:F30)</f>
        <v>2</v>
      </c>
      <c r="G31" s="7"/>
      <c r="H31" s="7">
        <f>SUM(H25:H30)</f>
        <v>1</v>
      </c>
      <c r="I31" s="15">
        <f>SUM(I25:I30)</f>
        <v>1.0275</v>
      </c>
      <c r="J31" s="15" t="s">
        <v>19</v>
      </c>
      <c r="K31" s="15">
        <f>SUM(K25:K30)</f>
        <v>9</v>
      </c>
      <c r="L31" s="15">
        <f>SUM(L25:L30)</f>
        <v>9.504000000000001</v>
      </c>
      <c r="M31" s="15" t="s">
        <v>19</v>
      </c>
      <c r="N31" s="15">
        <f>SUM(N25:N30)</f>
        <v>43</v>
      </c>
      <c r="O31" s="15">
        <f>SUM(O25:O30)</f>
        <v>46.655</v>
      </c>
      <c r="P31" s="7"/>
      <c r="Q31" s="8">
        <f t="shared" si="8"/>
        <v>55</v>
      </c>
      <c r="R31" s="8">
        <f t="shared" si="9"/>
        <v>59.1865</v>
      </c>
      <c r="S31" s="7"/>
    </row>
    <row r="32" spans="1:19" ht="12.75">
      <c r="A32" s="7"/>
      <c r="C32" s="7"/>
      <c r="D32" s="7"/>
      <c r="E32" s="1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75">
      <c r="A33" s="6" t="s">
        <v>18</v>
      </c>
      <c r="C33" s="7"/>
      <c r="D33" s="7"/>
      <c r="E33" s="1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7" t="s">
        <v>33</v>
      </c>
      <c r="C34" s="7"/>
      <c r="D34" s="7"/>
      <c r="E34" s="10">
        <v>1</v>
      </c>
      <c r="F34" s="8">
        <f>E34</f>
        <v>1</v>
      </c>
      <c r="G34" s="7"/>
      <c r="H34" s="7">
        <v>5</v>
      </c>
      <c r="I34" s="8">
        <f>Totals!$C$11*H34</f>
        <v>5.1375</v>
      </c>
      <c r="J34" s="7"/>
      <c r="K34" s="7">
        <v>5</v>
      </c>
      <c r="L34" s="8">
        <f>Totals!$D$11*K34</f>
        <v>5.28</v>
      </c>
      <c r="M34" s="7"/>
      <c r="N34" s="7">
        <v>5</v>
      </c>
      <c r="O34" s="8">
        <f>Totals!$E$11*N34</f>
        <v>5.425</v>
      </c>
      <c r="P34" s="7"/>
      <c r="Q34" s="8">
        <f aca="true" t="shared" si="10" ref="Q34:R38">E34+H34+K34+N34</f>
        <v>16</v>
      </c>
      <c r="R34" s="8">
        <f t="shared" si="10"/>
        <v>16.8425</v>
      </c>
      <c r="S34" s="7"/>
    </row>
    <row r="35" spans="1:19" ht="12.75">
      <c r="A35" s="7" t="s">
        <v>35</v>
      </c>
      <c r="C35" s="7"/>
      <c r="D35" s="7"/>
      <c r="E35" s="10">
        <v>0</v>
      </c>
      <c r="F35" s="8">
        <f>E35</f>
        <v>0</v>
      </c>
      <c r="G35" s="7"/>
      <c r="H35" s="7">
        <v>0</v>
      </c>
      <c r="I35" s="8">
        <f>Totals!$C$11*H35</f>
        <v>0</v>
      </c>
      <c r="J35" s="7"/>
      <c r="K35" s="7">
        <v>2</v>
      </c>
      <c r="L35" s="8">
        <f>Totals!$D$11*K35</f>
        <v>2.112</v>
      </c>
      <c r="M35" s="7"/>
      <c r="N35" s="7">
        <v>5</v>
      </c>
      <c r="O35" s="8">
        <f>Totals!$E$11*N35</f>
        <v>5.425</v>
      </c>
      <c r="P35" s="7"/>
      <c r="Q35" s="8">
        <f t="shared" si="10"/>
        <v>7</v>
      </c>
      <c r="R35" s="8">
        <f t="shared" si="10"/>
        <v>7.537</v>
      </c>
      <c r="S35" s="7"/>
    </row>
    <row r="36" spans="1:19" ht="12.75">
      <c r="A36" s="7" t="s">
        <v>34</v>
      </c>
      <c r="C36" s="7"/>
      <c r="D36" s="7"/>
      <c r="E36" s="10">
        <v>0</v>
      </c>
      <c r="F36" s="8">
        <f>E36</f>
        <v>0</v>
      </c>
      <c r="G36" s="7"/>
      <c r="H36" s="7">
        <v>0</v>
      </c>
      <c r="I36" s="8">
        <f>Totals!$C$11*H36</f>
        <v>0</v>
      </c>
      <c r="J36" s="7"/>
      <c r="K36" s="7">
        <v>0</v>
      </c>
      <c r="L36" s="8">
        <f>Totals!$D$11*K36</f>
        <v>0</v>
      </c>
      <c r="M36" s="7"/>
      <c r="N36" s="7">
        <v>5</v>
      </c>
      <c r="O36" s="8">
        <f>Totals!$E$11*N36</f>
        <v>5.425</v>
      </c>
      <c r="P36" s="7"/>
      <c r="Q36" s="8">
        <f t="shared" si="10"/>
        <v>5</v>
      </c>
      <c r="R36" s="8">
        <f t="shared" si="10"/>
        <v>5.425</v>
      </c>
      <c r="S36" s="7"/>
    </row>
    <row r="37" spans="1:19" ht="12.75">
      <c r="A37" s="7" t="s">
        <v>139</v>
      </c>
      <c r="C37" s="7"/>
      <c r="D37" s="7"/>
      <c r="E37" s="10">
        <v>0</v>
      </c>
      <c r="F37" s="8">
        <f>E37</f>
        <v>0</v>
      </c>
      <c r="G37" s="7"/>
      <c r="H37" s="7">
        <v>0</v>
      </c>
      <c r="I37" s="8">
        <f>Totals!$C$11*H37</f>
        <v>0</v>
      </c>
      <c r="J37" s="7"/>
      <c r="K37" s="7">
        <v>0</v>
      </c>
      <c r="L37" s="8">
        <f>Totals!$D$11*K37</f>
        <v>0</v>
      </c>
      <c r="M37" s="7"/>
      <c r="N37" s="7">
        <v>1</v>
      </c>
      <c r="O37" s="8">
        <f>Totals!$E$11*N37</f>
        <v>1.085</v>
      </c>
      <c r="P37" s="7"/>
      <c r="Q37" s="8">
        <f t="shared" si="10"/>
        <v>1</v>
      </c>
      <c r="R37" s="8">
        <f t="shared" si="10"/>
        <v>1.085</v>
      </c>
      <c r="S37" s="7"/>
    </row>
    <row r="38" spans="1:19" ht="12.75">
      <c r="A38" s="7"/>
      <c r="C38" s="7" t="s">
        <v>36</v>
      </c>
      <c r="D38" s="7"/>
      <c r="E38" s="10">
        <f>SUM(E34:E37)</f>
        <v>1</v>
      </c>
      <c r="F38" s="10">
        <f>SUM(F34:F37)</f>
        <v>1</v>
      </c>
      <c r="G38" s="7"/>
      <c r="H38" s="7">
        <f>SUM(H34:H37)</f>
        <v>5</v>
      </c>
      <c r="I38" s="15">
        <f>SUM(I34:I37)</f>
        <v>5.1375</v>
      </c>
      <c r="J38" s="8"/>
      <c r="K38" s="8">
        <f>SUM(K34:K37)</f>
        <v>7</v>
      </c>
      <c r="L38" s="15">
        <f>SUM(L34:L37)</f>
        <v>7.392</v>
      </c>
      <c r="M38" s="8"/>
      <c r="N38" s="8">
        <f>SUM(N34:N37)</f>
        <v>16</v>
      </c>
      <c r="O38" s="15">
        <f>SUM(O34:O37)</f>
        <v>17.36</v>
      </c>
      <c r="P38" s="7"/>
      <c r="Q38" s="8">
        <f t="shared" si="10"/>
        <v>29</v>
      </c>
      <c r="R38" s="8">
        <f t="shared" si="10"/>
        <v>30.889499999999998</v>
      </c>
      <c r="S38" s="7"/>
    </row>
    <row r="39" spans="1:19" ht="12.75">
      <c r="A39" s="7"/>
      <c r="C39" s="7"/>
      <c r="D39" s="7"/>
      <c r="E39" s="10"/>
      <c r="F39" s="8"/>
      <c r="G39" s="7"/>
      <c r="H39" s="7"/>
      <c r="I39" s="8"/>
      <c r="J39" s="7"/>
      <c r="K39" s="7"/>
      <c r="L39" s="8"/>
      <c r="M39" s="7"/>
      <c r="N39" s="7"/>
      <c r="O39" s="8"/>
      <c r="P39" s="7"/>
      <c r="Q39" s="8"/>
      <c r="R39" s="8"/>
      <c r="S39" s="7"/>
    </row>
    <row r="40" spans="1:19" ht="12.75">
      <c r="A40" s="6" t="s">
        <v>182</v>
      </c>
      <c r="C40" s="7" t="s">
        <v>37</v>
      </c>
      <c r="D40" s="9"/>
      <c r="E40" s="15">
        <f>E11+E22+E31+E38</f>
        <v>30.961750000000002</v>
      </c>
      <c r="F40" s="15">
        <f>F11+F22+F31+F38</f>
        <v>30.961750000000002</v>
      </c>
      <c r="G40" s="9"/>
      <c r="H40" s="15">
        <f>H11+H22+H31+H38</f>
        <v>148.500175</v>
      </c>
      <c r="I40" s="15">
        <f>I11+I22+I31+I38</f>
        <v>152.58392981250003</v>
      </c>
      <c r="J40" s="9"/>
      <c r="K40" s="15">
        <f>K11+K22+K31+K38</f>
        <v>323.634775</v>
      </c>
      <c r="L40" s="15">
        <f>L11+L22+L31+L38</f>
        <v>341.75832240000005</v>
      </c>
      <c r="M40" s="9"/>
      <c r="N40" s="15">
        <f>N11+N22+N31+N38</f>
        <v>345.61794</v>
      </c>
      <c r="O40" s="15">
        <f>O11+O22+O31+O38</f>
        <v>374.9954649</v>
      </c>
      <c r="P40" s="9"/>
      <c r="Q40" s="8">
        <f>E40+H40+K40+N40</f>
        <v>848.7146399999999</v>
      </c>
      <c r="R40" s="8">
        <f>F40+I40+L40+O40</f>
        <v>900.2994671125001</v>
      </c>
      <c r="S40" s="7"/>
    </row>
    <row r="41" spans="1:19" ht="12.75">
      <c r="A41" s="6"/>
      <c r="C41" s="7" t="s">
        <v>184</v>
      </c>
      <c r="D41" s="9"/>
      <c r="E41" s="15"/>
      <c r="F41" s="8">
        <f>F40</f>
        <v>30.961750000000002</v>
      </c>
      <c r="G41" s="9"/>
      <c r="H41" s="15"/>
      <c r="I41" s="8">
        <f>F41+I40</f>
        <v>183.54567981250003</v>
      </c>
      <c r="J41" s="9"/>
      <c r="K41" s="15"/>
      <c r="L41" s="8">
        <f>I41+L40</f>
        <v>525.3040022125001</v>
      </c>
      <c r="M41" s="9"/>
      <c r="N41" s="15"/>
      <c r="O41" s="8">
        <f>L41+O40</f>
        <v>900.2994671125001</v>
      </c>
      <c r="P41" s="9"/>
      <c r="Q41" s="8"/>
      <c r="R41" s="8"/>
      <c r="S41" s="7"/>
    </row>
    <row r="42" spans="1:19" ht="12.75">
      <c r="A42" s="7"/>
      <c r="C42" s="7"/>
      <c r="D42" s="7"/>
      <c r="E42" s="10"/>
      <c r="F42" s="8"/>
      <c r="G42" s="7"/>
      <c r="H42" s="7"/>
      <c r="I42" s="8"/>
      <c r="J42" s="7"/>
      <c r="K42" s="7"/>
      <c r="L42" s="8"/>
      <c r="M42" s="7"/>
      <c r="N42" s="7"/>
      <c r="O42" s="8"/>
      <c r="P42" s="7"/>
      <c r="Q42" s="8"/>
      <c r="R42" s="8"/>
      <c r="S42" s="7"/>
    </row>
    <row r="43" ht="12.75">
      <c r="A43" s="6" t="s">
        <v>181</v>
      </c>
    </row>
    <row r="44" spans="1:19" ht="12.75">
      <c r="A44" t="s">
        <v>0</v>
      </c>
      <c r="B44" t="s">
        <v>22</v>
      </c>
      <c r="C44" s="7" t="s">
        <v>11</v>
      </c>
      <c r="D44" s="10" t="s">
        <v>177</v>
      </c>
      <c r="E44" s="14" t="s">
        <v>9</v>
      </c>
      <c r="F44" s="14" t="s">
        <v>178</v>
      </c>
      <c r="G44" s="10" t="s">
        <v>177</v>
      </c>
      <c r="H44" s="14" t="s">
        <v>9</v>
      </c>
      <c r="I44" s="14" t="s">
        <v>178</v>
      </c>
      <c r="J44" s="10" t="s">
        <v>177</v>
      </c>
      <c r="K44" s="14" t="s">
        <v>9</v>
      </c>
      <c r="L44" s="14" t="s">
        <v>178</v>
      </c>
      <c r="M44" s="10" t="s">
        <v>177</v>
      </c>
      <c r="N44" s="14" t="s">
        <v>9</v>
      </c>
      <c r="O44" s="14" t="s">
        <v>178</v>
      </c>
      <c r="P44" s="10" t="s">
        <v>177</v>
      </c>
      <c r="Q44" s="14" t="s">
        <v>9</v>
      </c>
      <c r="R44" s="14" t="s">
        <v>178</v>
      </c>
      <c r="S44" s="7"/>
    </row>
    <row r="45" spans="1:19" ht="12.75">
      <c r="A45" t="s">
        <v>122</v>
      </c>
      <c r="B45" t="s">
        <v>21</v>
      </c>
      <c r="C45" s="7" t="s">
        <v>16</v>
      </c>
      <c r="D45" s="8">
        <v>0</v>
      </c>
      <c r="E45" s="15">
        <f>D45*Staff!$D$18</f>
        <v>0</v>
      </c>
      <c r="F45" s="8">
        <f>E45</f>
        <v>0</v>
      </c>
      <c r="G45" s="8">
        <v>0</v>
      </c>
      <c r="H45" s="15">
        <f>G45*Staff!$E$18</f>
        <v>0</v>
      </c>
      <c r="I45" s="8">
        <f>Totals!$C$11*H45</f>
        <v>0</v>
      </c>
      <c r="J45" s="8">
        <v>2</v>
      </c>
      <c r="K45" s="15">
        <f>J45*Staff!$F$18</f>
        <v>11.685596666666667</v>
      </c>
      <c r="L45" s="8">
        <f>Totals!$D$11*K45</f>
        <v>12.339990080000002</v>
      </c>
      <c r="M45" s="8">
        <v>2</v>
      </c>
      <c r="N45" s="15">
        <f>M45*Staff!$G$18</f>
        <v>11.685596666666667</v>
      </c>
      <c r="O45" s="8">
        <f>Totals!$E$11*N45</f>
        <v>12.678872383333333</v>
      </c>
      <c r="P45" s="8">
        <f>D45+G45+J45+M45</f>
        <v>4</v>
      </c>
      <c r="Q45" s="8">
        <f aca="true" t="shared" si="11" ref="Q45:R51">E45+H45+K45+N45</f>
        <v>23.371193333333334</v>
      </c>
      <c r="R45" s="8">
        <f t="shared" si="11"/>
        <v>25.018862463333335</v>
      </c>
      <c r="S45" s="7"/>
    </row>
    <row r="46" spans="1:19" ht="12.75">
      <c r="A46" t="s">
        <v>141</v>
      </c>
      <c r="B46" t="s">
        <v>54</v>
      </c>
      <c r="C46" s="7" t="s">
        <v>16</v>
      </c>
      <c r="D46" s="8">
        <v>0</v>
      </c>
      <c r="E46" s="15">
        <f>D46*Staff!$D$19</f>
        <v>0</v>
      </c>
      <c r="F46" s="8">
        <f aca="true" t="shared" si="12" ref="F46:F51">E46</f>
        <v>0</v>
      </c>
      <c r="G46" s="8">
        <v>0</v>
      </c>
      <c r="H46" s="15">
        <f>G46*Staff!$E$19</f>
        <v>0</v>
      </c>
      <c r="I46" s="8">
        <f>Totals!$C$11*H46</f>
        <v>0</v>
      </c>
      <c r="J46" s="8">
        <v>1</v>
      </c>
      <c r="K46" s="15">
        <f>J46*Staff!$F$19</f>
        <v>2.8850816666666668</v>
      </c>
      <c r="L46" s="8">
        <f>Totals!$D$11*K46</f>
        <v>3.0466462400000003</v>
      </c>
      <c r="M46" s="8">
        <v>2</v>
      </c>
      <c r="N46" s="15">
        <f>M46*Staff!$G$19</f>
        <v>5.935143333333333</v>
      </c>
      <c r="O46" s="8">
        <f>Totals!$E$11*N46</f>
        <v>6.439630516666667</v>
      </c>
      <c r="P46" s="8">
        <f aca="true" t="shared" si="13" ref="P46:P51">D46+G46+J46+M46</f>
        <v>3</v>
      </c>
      <c r="Q46" s="8">
        <f t="shared" si="11"/>
        <v>8.820225</v>
      </c>
      <c r="R46" s="8">
        <f t="shared" si="11"/>
        <v>9.486276756666667</v>
      </c>
      <c r="S46" s="7"/>
    </row>
    <row r="47" spans="1:19" ht="12.75">
      <c r="A47" t="s">
        <v>113</v>
      </c>
      <c r="B47" t="s">
        <v>21</v>
      </c>
      <c r="C47" s="7" t="s">
        <v>14</v>
      </c>
      <c r="D47" s="8">
        <v>0</v>
      </c>
      <c r="E47" s="15">
        <f>D47*Staff!$D$25</f>
        <v>0</v>
      </c>
      <c r="F47" s="8">
        <f t="shared" si="12"/>
        <v>0</v>
      </c>
      <c r="G47" s="8">
        <v>0</v>
      </c>
      <c r="H47" s="15">
        <f>G47*Staff!$E$25</f>
        <v>0</v>
      </c>
      <c r="I47" s="8">
        <f>Totals!$C$11*H47</f>
        <v>0</v>
      </c>
      <c r="J47" s="8">
        <v>2</v>
      </c>
      <c r="K47" s="15">
        <f>J47*Staff!$F$25</f>
        <v>10.501536666666665</v>
      </c>
      <c r="L47" s="8">
        <f>Totals!$D$11*K47</f>
        <v>11.089622719999998</v>
      </c>
      <c r="M47" s="8">
        <v>3</v>
      </c>
      <c r="N47" s="15">
        <f>M47*Staff!$G$25</f>
        <v>16.167309999999993</v>
      </c>
      <c r="O47" s="8">
        <f>Totals!$E$11*N47</f>
        <v>17.541531349999993</v>
      </c>
      <c r="P47" s="8">
        <f t="shared" si="13"/>
        <v>5</v>
      </c>
      <c r="Q47" s="8">
        <f t="shared" si="11"/>
        <v>26.66884666666666</v>
      </c>
      <c r="R47" s="8">
        <f t="shared" si="11"/>
        <v>28.63115406999999</v>
      </c>
      <c r="S47" s="7"/>
    </row>
    <row r="48" spans="1:19" ht="12.75">
      <c r="A48" t="s">
        <v>112</v>
      </c>
      <c r="B48" t="s">
        <v>21</v>
      </c>
      <c r="C48" s="7" t="s">
        <v>14</v>
      </c>
      <c r="D48" s="8">
        <v>0</v>
      </c>
      <c r="E48" s="15">
        <f>D48*Staff!$D$24</f>
        <v>0</v>
      </c>
      <c r="F48" s="8">
        <f t="shared" si="12"/>
        <v>0</v>
      </c>
      <c r="G48" s="8">
        <v>0</v>
      </c>
      <c r="H48" s="15">
        <f>G48*Staff!$E$24</f>
        <v>0</v>
      </c>
      <c r="I48" s="8">
        <f>Totals!$C$11*H48</f>
        <v>0</v>
      </c>
      <c r="J48" s="8">
        <v>1</v>
      </c>
      <c r="K48" s="15">
        <f>J48*Staff!$F$24</f>
        <v>7.331998333333332</v>
      </c>
      <c r="L48" s="8">
        <f>Totals!$D$11*K48</f>
        <v>7.742590239999999</v>
      </c>
      <c r="M48" s="8">
        <v>1</v>
      </c>
      <c r="N48" s="15">
        <f>M48*Staff!$G$24</f>
        <v>7.528976666666665</v>
      </c>
      <c r="O48" s="8">
        <f>Totals!$E$11*N48</f>
        <v>8.168939683333331</v>
      </c>
      <c r="P48" s="8">
        <f t="shared" si="13"/>
        <v>2</v>
      </c>
      <c r="Q48" s="8">
        <f t="shared" si="11"/>
        <v>14.860974999999996</v>
      </c>
      <c r="R48" s="8">
        <f t="shared" si="11"/>
        <v>15.91152992333333</v>
      </c>
      <c r="S48" s="7"/>
    </row>
    <row r="49" spans="1:19" ht="12.75">
      <c r="A49" t="s">
        <v>124</v>
      </c>
      <c r="B49" t="s">
        <v>24</v>
      </c>
      <c r="C49" s="7" t="s">
        <v>14</v>
      </c>
      <c r="D49" s="8">
        <v>0</v>
      </c>
      <c r="E49" s="15">
        <f>D49*Staff!$D$23</f>
        <v>0</v>
      </c>
      <c r="F49" s="8">
        <f t="shared" si="12"/>
        <v>0</v>
      </c>
      <c r="G49" s="8">
        <v>0</v>
      </c>
      <c r="H49" s="15">
        <f>G49*Staff!$E$23</f>
        <v>0</v>
      </c>
      <c r="I49" s="8">
        <f>Totals!$C$11*H49</f>
        <v>0</v>
      </c>
      <c r="J49" s="8">
        <v>1</v>
      </c>
      <c r="K49" s="15">
        <f>J49*Staff!$F$23</f>
        <v>4.835885</v>
      </c>
      <c r="L49" s="8">
        <f>Totals!$D$11*K49</f>
        <v>5.10669456</v>
      </c>
      <c r="M49" s="8">
        <v>2</v>
      </c>
      <c r="N49" s="15">
        <f>M49*Staff!$G$23</f>
        <v>9.924836666666668</v>
      </c>
      <c r="O49" s="8">
        <f>Totals!$E$11*N49</f>
        <v>10.768447783333334</v>
      </c>
      <c r="P49" s="8">
        <f t="shared" si="13"/>
        <v>3</v>
      </c>
      <c r="Q49" s="8">
        <f t="shared" si="11"/>
        <v>14.760721666666669</v>
      </c>
      <c r="R49" s="8">
        <f t="shared" si="11"/>
        <v>15.875142343333334</v>
      </c>
      <c r="S49" s="7"/>
    </row>
    <row r="50" spans="1:19" ht="12.75">
      <c r="A50" t="s">
        <v>142</v>
      </c>
      <c r="B50" t="s">
        <v>21</v>
      </c>
      <c r="C50" s="7" t="s">
        <v>13</v>
      </c>
      <c r="D50" s="8">
        <v>5</v>
      </c>
      <c r="E50" s="15">
        <f>D50*Staff!$D$11</f>
        <v>32.5</v>
      </c>
      <c r="F50" s="8">
        <f t="shared" si="12"/>
        <v>32.5</v>
      </c>
      <c r="G50" s="8">
        <v>0</v>
      </c>
      <c r="H50" s="15">
        <f>G50*Staff!$E$11</f>
        <v>0</v>
      </c>
      <c r="I50" s="8">
        <v>0</v>
      </c>
      <c r="J50" s="8">
        <v>0</v>
      </c>
      <c r="K50" s="15">
        <f>J50*Staff!$F$11</f>
        <v>0</v>
      </c>
      <c r="L50" s="8">
        <v>0</v>
      </c>
      <c r="M50" s="8">
        <v>0</v>
      </c>
      <c r="N50" s="15">
        <f>M50*Staff!$G$11</f>
        <v>0</v>
      </c>
      <c r="O50" s="8">
        <v>0</v>
      </c>
      <c r="P50" s="8">
        <f t="shared" si="13"/>
        <v>5</v>
      </c>
      <c r="Q50" s="8">
        <f t="shared" si="11"/>
        <v>32.5</v>
      </c>
      <c r="R50" s="8">
        <f t="shared" si="11"/>
        <v>32.5</v>
      </c>
      <c r="S50" s="7"/>
    </row>
    <row r="51" spans="1:19" ht="12.75">
      <c r="A51" t="s">
        <v>126</v>
      </c>
      <c r="B51" t="s">
        <v>23</v>
      </c>
      <c r="C51" s="7" t="s">
        <v>13</v>
      </c>
      <c r="D51" s="8">
        <v>1</v>
      </c>
      <c r="E51" s="15">
        <f>D51*Staff!$D$10</f>
        <v>6.5</v>
      </c>
      <c r="F51" s="8">
        <f t="shared" si="12"/>
        <v>6.5</v>
      </c>
      <c r="G51" s="8">
        <v>0</v>
      </c>
      <c r="H51" s="15">
        <f>G51*Staff!$E$10</f>
        <v>0</v>
      </c>
      <c r="I51" s="8">
        <v>0</v>
      </c>
      <c r="J51" s="8">
        <v>0</v>
      </c>
      <c r="K51" s="15">
        <f>J51*Staff!$F$10</f>
        <v>0</v>
      </c>
      <c r="L51" s="8">
        <v>0</v>
      </c>
      <c r="M51" s="8">
        <v>0</v>
      </c>
      <c r="N51" s="15">
        <f>M51*Staff!$G$10</f>
        <v>0</v>
      </c>
      <c r="O51" s="8">
        <v>0</v>
      </c>
      <c r="P51" s="8">
        <f t="shared" si="13"/>
        <v>1</v>
      </c>
      <c r="Q51" s="8">
        <f t="shared" si="11"/>
        <v>6.5</v>
      </c>
      <c r="R51" s="8">
        <f t="shared" si="11"/>
        <v>6.5</v>
      </c>
      <c r="S51" s="7"/>
    </row>
    <row r="52" spans="3:19" ht="12.75">
      <c r="C52" s="7" t="s">
        <v>29</v>
      </c>
      <c r="D52" s="8">
        <f>SUM(D45:D51)</f>
        <v>6</v>
      </c>
      <c r="E52" s="8">
        <f aca="true" t="shared" si="14" ref="E52:R52">SUM(E45:E51)</f>
        <v>39</v>
      </c>
      <c r="F52" s="8">
        <f t="shared" si="14"/>
        <v>39</v>
      </c>
      <c r="G52" s="8">
        <f t="shared" si="14"/>
        <v>0</v>
      </c>
      <c r="H52" s="8">
        <f t="shared" si="14"/>
        <v>0</v>
      </c>
      <c r="I52" s="8">
        <f t="shared" si="14"/>
        <v>0</v>
      </c>
      <c r="J52" s="8">
        <f t="shared" si="14"/>
        <v>7</v>
      </c>
      <c r="K52" s="8">
        <f t="shared" si="14"/>
        <v>37.24009833333333</v>
      </c>
      <c r="L52" s="8">
        <f t="shared" si="14"/>
        <v>39.32554384</v>
      </c>
      <c r="M52" s="8">
        <f t="shared" si="14"/>
        <v>10</v>
      </c>
      <c r="N52" s="8">
        <f t="shared" si="14"/>
        <v>51.24186333333333</v>
      </c>
      <c r="O52" s="8">
        <f t="shared" si="14"/>
        <v>55.597421716666666</v>
      </c>
      <c r="P52" s="8">
        <f t="shared" si="14"/>
        <v>23</v>
      </c>
      <c r="Q52" s="8">
        <f t="shared" si="14"/>
        <v>127.48196166666666</v>
      </c>
      <c r="R52" s="8">
        <f t="shared" si="14"/>
        <v>133.92296555666667</v>
      </c>
      <c r="S52" s="7"/>
    </row>
    <row r="53" spans="3:19" ht="12.75">
      <c r="C53" s="7"/>
      <c r="D53" s="9"/>
      <c r="E53" s="15"/>
      <c r="F53" s="8"/>
      <c r="G53" s="9"/>
      <c r="H53" s="8"/>
      <c r="I53" s="8"/>
      <c r="J53" s="9"/>
      <c r="K53" s="8"/>
      <c r="L53" s="8"/>
      <c r="M53" s="9"/>
      <c r="N53" s="8"/>
      <c r="O53" s="8"/>
      <c r="P53" s="9"/>
      <c r="Q53" s="7"/>
      <c r="R53" s="7"/>
      <c r="S53" s="7"/>
    </row>
    <row r="54" spans="1:19" ht="12.75">
      <c r="A54" s="6" t="s">
        <v>183</v>
      </c>
      <c r="C54" s="7" t="s">
        <v>37</v>
      </c>
      <c r="D54" s="9"/>
      <c r="E54" s="15">
        <f>E40+E52</f>
        <v>69.96175</v>
      </c>
      <c r="F54" s="15">
        <f>F40+F52</f>
        <v>69.96175</v>
      </c>
      <c r="G54" s="9"/>
      <c r="H54" s="15">
        <f>H40+H52</f>
        <v>148.500175</v>
      </c>
      <c r="I54" s="15">
        <f>I40+I52</f>
        <v>152.58392981250003</v>
      </c>
      <c r="J54" s="9"/>
      <c r="K54" s="15">
        <f>K40+K52</f>
        <v>360.8748733333333</v>
      </c>
      <c r="L54" s="15">
        <f>L40+L52</f>
        <v>381.0838662400001</v>
      </c>
      <c r="M54" s="9"/>
      <c r="N54" s="15">
        <f>N40+N52</f>
        <v>396.8598033333333</v>
      </c>
      <c r="O54" s="15">
        <f>O40+O52</f>
        <v>430.59288661666665</v>
      </c>
      <c r="P54" s="9"/>
      <c r="Q54" s="15">
        <f>Q40+Q52</f>
        <v>976.1966016666665</v>
      </c>
      <c r="R54" s="18">
        <f>R40+R52</f>
        <v>1034.2224326691667</v>
      </c>
      <c r="S54" s="7"/>
    </row>
    <row r="55" spans="3:19" ht="12.75">
      <c r="C55" s="7"/>
      <c r="D55" s="9"/>
      <c r="E55" s="15"/>
      <c r="F55" s="8"/>
      <c r="G55" s="9"/>
      <c r="H55" s="8"/>
      <c r="I55" s="8"/>
      <c r="J55" s="9"/>
      <c r="K55" s="8"/>
      <c r="L55" s="8"/>
      <c r="M55" s="9"/>
      <c r="N55" s="8"/>
      <c r="O55" s="8"/>
      <c r="P55" s="9"/>
      <c r="Q55" s="7"/>
      <c r="R55" s="7"/>
      <c r="S55" s="7"/>
    </row>
    <row r="56" spans="3:19" ht="12.75">
      <c r="C56" s="7"/>
      <c r="D56" s="7"/>
      <c r="E56" s="1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7" s="3" customFormat="1" ht="12.75">
      <c r="A57" s="6" t="s">
        <v>62</v>
      </c>
      <c r="D57" s="4"/>
      <c r="E57" s="16"/>
      <c r="F57" s="5"/>
      <c r="H57" s="5"/>
      <c r="I57" s="5"/>
      <c r="K57" s="5"/>
      <c r="L57" s="5"/>
      <c r="N57" s="5"/>
      <c r="O57" s="5"/>
      <c r="Q57" s="5"/>
    </row>
    <row r="58" spans="1:18" ht="12.75">
      <c r="A58" t="s">
        <v>102</v>
      </c>
      <c r="B58" t="s">
        <v>55</v>
      </c>
      <c r="C58" t="s">
        <v>16</v>
      </c>
      <c r="D58" s="1">
        <v>2</v>
      </c>
      <c r="E58" s="12"/>
      <c r="F58" s="1"/>
      <c r="G58" s="1">
        <v>2</v>
      </c>
      <c r="H58" s="1"/>
      <c r="I58" s="1"/>
      <c r="J58" s="1">
        <v>2</v>
      </c>
      <c r="K58" s="1"/>
      <c r="L58" s="1"/>
      <c r="M58" s="1">
        <v>2</v>
      </c>
      <c r="N58" s="1"/>
      <c r="O58" s="1"/>
      <c r="P58" s="8">
        <f>D58+G58+J58</f>
        <v>6</v>
      </c>
      <c r="Q58" s="1"/>
      <c r="R58" t="s">
        <v>56</v>
      </c>
    </row>
    <row r="59" spans="1:18" ht="12.75">
      <c r="A59" t="s">
        <v>127</v>
      </c>
      <c r="B59" t="s">
        <v>55</v>
      </c>
      <c r="C59" t="s">
        <v>16</v>
      </c>
      <c r="D59" s="1">
        <v>1</v>
      </c>
      <c r="E59" s="12"/>
      <c r="F59" s="1"/>
      <c r="G59" s="1">
        <v>2</v>
      </c>
      <c r="H59" s="1"/>
      <c r="I59" s="1"/>
      <c r="J59" s="1">
        <v>2</v>
      </c>
      <c r="K59" s="1"/>
      <c r="L59" s="1"/>
      <c r="M59" s="1">
        <v>2</v>
      </c>
      <c r="N59" s="1"/>
      <c r="O59" s="1"/>
      <c r="P59" s="8">
        <f>D59+G59+J59</f>
        <v>5</v>
      </c>
      <c r="Q59" s="1"/>
      <c r="R59" t="s">
        <v>56</v>
      </c>
    </row>
    <row r="60" spans="1:18" ht="12.75">
      <c r="A60" t="s">
        <v>105</v>
      </c>
      <c r="B60" t="s">
        <v>55</v>
      </c>
      <c r="C60" t="s">
        <v>14</v>
      </c>
      <c r="D60" s="1">
        <v>2</v>
      </c>
      <c r="E60" s="12"/>
      <c r="F60" s="1"/>
      <c r="G60" s="1">
        <v>2</v>
      </c>
      <c r="H60" s="1"/>
      <c r="I60" s="1"/>
      <c r="J60" s="1">
        <v>4</v>
      </c>
      <c r="K60" s="1"/>
      <c r="L60" s="1"/>
      <c r="M60" s="1">
        <v>4</v>
      </c>
      <c r="N60" s="1"/>
      <c r="O60" s="1"/>
      <c r="P60" s="8">
        <f>D60+G60+J60</f>
        <v>8</v>
      </c>
      <c r="Q60" s="1"/>
      <c r="R60" t="s">
        <v>56</v>
      </c>
    </row>
    <row r="61" spans="1:18" ht="12.75">
      <c r="A61" t="s">
        <v>141</v>
      </c>
      <c r="B61" t="s">
        <v>54</v>
      </c>
      <c r="C61" t="s">
        <v>14</v>
      </c>
      <c r="D61" s="1">
        <v>0</v>
      </c>
      <c r="E61" s="12"/>
      <c r="F61" s="1"/>
      <c r="G61" s="1">
        <v>4</v>
      </c>
      <c r="H61" s="1"/>
      <c r="I61" s="1"/>
      <c r="J61" s="1">
        <v>4</v>
      </c>
      <c r="K61" s="1"/>
      <c r="L61" s="1"/>
      <c r="M61" s="1">
        <v>4</v>
      </c>
      <c r="N61" s="1"/>
      <c r="O61" s="1"/>
      <c r="P61" s="8">
        <f>D61+G61+J61</f>
        <v>8</v>
      </c>
      <c r="R61" t="s">
        <v>56</v>
      </c>
    </row>
    <row r="62" spans="4:16" ht="12.75">
      <c r="D62" s="1">
        <f>SUM(D58:D61)</f>
        <v>5</v>
      </c>
      <c r="G62" s="1">
        <f>SUM(G58:G61)</f>
        <v>10</v>
      </c>
      <c r="J62" s="1">
        <f>SUM(J58:J61)</f>
        <v>12</v>
      </c>
      <c r="M62" s="1">
        <f>SUM(M58:M61)</f>
        <v>12</v>
      </c>
      <c r="P62" s="1">
        <f>SUM(P58:P61)</f>
        <v>27</v>
      </c>
    </row>
  </sheetData>
  <printOptions/>
  <pageMargins left="0.75" right="0.75" top="1" bottom="1" header="0.5" footer="0.5"/>
  <pageSetup fitToHeight="1" fitToWidth="1" horizontalDpi="300" verticalDpi="3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6.57421875" style="0" customWidth="1"/>
    <col min="3" max="3" width="11.28125" style="0" customWidth="1"/>
    <col min="4" max="4" width="7.7109375" style="0" customWidth="1"/>
    <col min="5" max="5" width="7.7109375" style="2" customWidth="1"/>
    <col min="6" max="18" width="7.7109375" style="0" customWidth="1"/>
  </cols>
  <sheetData>
    <row r="1" spans="1:19" ht="12.75">
      <c r="A1" t="s">
        <v>41</v>
      </c>
      <c r="D1" s="2"/>
      <c r="F1" s="2" t="s">
        <v>1</v>
      </c>
      <c r="G1" s="2"/>
      <c r="I1" s="2" t="s">
        <v>2</v>
      </c>
      <c r="J1" s="2"/>
      <c r="L1" s="2" t="s">
        <v>3</v>
      </c>
      <c r="M1" s="2"/>
      <c r="O1" s="2" t="s">
        <v>176</v>
      </c>
      <c r="P1" s="2" t="s">
        <v>4</v>
      </c>
      <c r="Q1" s="2" t="s">
        <v>4</v>
      </c>
      <c r="R1" s="13" t="s">
        <v>95</v>
      </c>
      <c r="S1" s="2" t="s">
        <v>147</v>
      </c>
    </row>
    <row r="2" ht="12.75">
      <c r="A2" s="6" t="s">
        <v>180</v>
      </c>
    </row>
    <row r="3" spans="3:19" ht="12.75">
      <c r="C3" s="7" t="s">
        <v>29</v>
      </c>
      <c r="D3" s="8">
        <v>0</v>
      </c>
      <c r="E3" s="15">
        <v>0</v>
      </c>
      <c r="F3" s="8">
        <f>E3</f>
        <v>0</v>
      </c>
      <c r="G3" s="8">
        <v>0</v>
      </c>
      <c r="H3" s="8">
        <v>0</v>
      </c>
      <c r="I3" s="8">
        <f>Totals!$C$11*H3</f>
        <v>0</v>
      </c>
      <c r="J3" s="8">
        <v>0</v>
      </c>
      <c r="K3" s="8">
        <v>0</v>
      </c>
      <c r="L3" s="8">
        <f>Totals!$D$11*K3</f>
        <v>0</v>
      </c>
      <c r="M3" s="8">
        <v>0</v>
      </c>
      <c r="N3" s="8">
        <v>0</v>
      </c>
      <c r="O3" s="8">
        <f>Totals!$E$11*N3</f>
        <v>0</v>
      </c>
      <c r="P3" s="8">
        <f>D3+G3+J3+M3</f>
        <v>0</v>
      </c>
      <c r="Q3" s="8">
        <f>E3+H3+K3+N3</f>
        <v>0</v>
      </c>
      <c r="R3" s="8">
        <f>F3+I3+L3+O3</f>
        <v>0</v>
      </c>
      <c r="S3" s="7"/>
    </row>
    <row r="4" spans="3:19" ht="12.75">
      <c r="C4" s="7"/>
      <c r="D4" s="9"/>
      <c r="E4" s="15"/>
      <c r="F4" s="8"/>
      <c r="G4" s="9"/>
      <c r="H4" s="8"/>
      <c r="I4" s="8"/>
      <c r="J4" s="9"/>
      <c r="K4" s="8"/>
      <c r="L4" s="8"/>
      <c r="M4" s="9"/>
      <c r="N4" s="8"/>
      <c r="O4" s="8"/>
      <c r="P4" s="9"/>
      <c r="Q4" s="7"/>
      <c r="R4" s="7"/>
      <c r="S4" s="7"/>
    </row>
    <row r="5" spans="1:19" ht="12.75">
      <c r="A5" s="6" t="s">
        <v>17</v>
      </c>
      <c r="C5" s="7"/>
      <c r="D5" s="7"/>
      <c r="E5" s="1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2.75">
      <c r="A6" s="7" t="s">
        <v>196</v>
      </c>
      <c r="C6" s="7"/>
      <c r="D6" s="7"/>
      <c r="E6" s="7">
        <v>-1</v>
      </c>
      <c r="F6" s="8">
        <f>E6</f>
        <v>-1</v>
      </c>
      <c r="G6" s="7"/>
      <c r="H6" s="10">
        <v>-3</v>
      </c>
      <c r="I6" s="8">
        <f>Totals!$C$11*H6</f>
        <v>-3.0825000000000005</v>
      </c>
      <c r="J6" s="7"/>
      <c r="K6" s="7">
        <v>-3</v>
      </c>
      <c r="L6" s="8">
        <f>Totals!$D$11*K6</f>
        <v>-3.168</v>
      </c>
      <c r="M6" s="7"/>
      <c r="N6" s="7">
        <v>0</v>
      </c>
      <c r="O6" s="8">
        <f>Totals!$E$11*N6</f>
        <v>0</v>
      </c>
      <c r="P6" s="7"/>
      <c r="Q6" s="8">
        <f aca="true" t="shared" si="0" ref="Q6:R11">E6+H6+K6+N6</f>
        <v>-7</v>
      </c>
      <c r="R6" s="8">
        <f t="shared" si="0"/>
        <v>-7.250500000000001</v>
      </c>
      <c r="S6" s="7"/>
    </row>
    <row r="7" spans="1:19" ht="12.75">
      <c r="A7" s="7" t="s">
        <v>79</v>
      </c>
      <c r="B7" t="s">
        <v>80</v>
      </c>
      <c r="C7" s="7"/>
      <c r="D7" s="7"/>
      <c r="E7" s="7">
        <v>0</v>
      </c>
      <c r="F7" s="8">
        <f>E7</f>
        <v>0</v>
      </c>
      <c r="G7" s="7"/>
      <c r="H7" s="10">
        <v>1</v>
      </c>
      <c r="I7" s="8">
        <f>Totals!$C$11*H7</f>
        <v>1.0275</v>
      </c>
      <c r="J7" s="7"/>
      <c r="K7" s="7">
        <v>1</v>
      </c>
      <c r="L7" s="8">
        <f>Totals!$D$11*K7</f>
        <v>1.056</v>
      </c>
      <c r="M7" s="7"/>
      <c r="N7" s="7">
        <v>2</v>
      </c>
      <c r="O7" s="8">
        <f>Totals!$E$11*N7</f>
        <v>2.17</v>
      </c>
      <c r="P7" s="7"/>
      <c r="Q7" s="8">
        <f>E7+H7+K7+N7</f>
        <v>4</v>
      </c>
      <c r="R7" s="8">
        <f>F7+I7+L7+O7</f>
        <v>4.2535</v>
      </c>
      <c r="S7" s="7"/>
    </row>
    <row r="8" spans="1:19" ht="12.75">
      <c r="A8" s="7" t="s">
        <v>81</v>
      </c>
      <c r="B8" t="s">
        <v>82</v>
      </c>
      <c r="C8" s="7"/>
      <c r="D8" s="7"/>
      <c r="E8" s="7">
        <v>0</v>
      </c>
      <c r="F8" s="8">
        <f>E8</f>
        <v>0</v>
      </c>
      <c r="G8" s="7"/>
      <c r="H8" s="10">
        <v>1</v>
      </c>
      <c r="I8" s="8">
        <f>Totals!$C$11*H8</f>
        <v>1.0275</v>
      </c>
      <c r="J8" s="7"/>
      <c r="K8" s="7">
        <v>2</v>
      </c>
      <c r="L8" s="8">
        <f>Totals!$D$11*K8</f>
        <v>2.112</v>
      </c>
      <c r="M8" s="7"/>
      <c r="N8" s="7">
        <v>5</v>
      </c>
      <c r="O8" s="8">
        <f>Totals!$E$11*N8</f>
        <v>5.425</v>
      </c>
      <c r="P8" s="7"/>
      <c r="Q8" s="8">
        <f t="shared" si="0"/>
        <v>8</v>
      </c>
      <c r="R8" s="8">
        <f t="shared" si="0"/>
        <v>8.564499999999999</v>
      </c>
      <c r="S8" s="7" t="s">
        <v>148</v>
      </c>
    </row>
    <row r="9" spans="1:19" ht="12.75">
      <c r="A9" s="7" t="s">
        <v>83</v>
      </c>
      <c r="B9" t="s">
        <v>84</v>
      </c>
      <c r="C9" s="7"/>
      <c r="D9" s="7"/>
      <c r="E9" s="7">
        <v>0</v>
      </c>
      <c r="F9" s="8">
        <f>E9</f>
        <v>0</v>
      </c>
      <c r="G9" s="7"/>
      <c r="H9" s="10">
        <v>0</v>
      </c>
      <c r="I9" s="8">
        <f>Totals!$C$11*H9</f>
        <v>0</v>
      </c>
      <c r="J9" s="7"/>
      <c r="K9" s="7">
        <v>0</v>
      </c>
      <c r="L9" s="8">
        <f>Totals!$D$11*K9</f>
        <v>0</v>
      </c>
      <c r="M9" s="7"/>
      <c r="N9" s="7">
        <v>5</v>
      </c>
      <c r="O9" s="8">
        <f>Totals!$E$11*N9</f>
        <v>5.425</v>
      </c>
      <c r="P9" s="7"/>
      <c r="Q9" s="8">
        <f t="shared" si="0"/>
        <v>5</v>
      </c>
      <c r="R9" s="8">
        <f t="shared" si="0"/>
        <v>5.425</v>
      </c>
      <c r="S9" s="7"/>
    </row>
    <row r="10" spans="1:19" ht="12.75">
      <c r="A10" s="7" t="s">
        <v>83</v>
      </c>
      <c r="B10" t="s">
        <v>85</v>
      </c>
      <c r="C10" s="7"/>
      <c r="D10" s="7"/>
      <c r="E10" s="7">
        <v>1</v>
      </c>
      <c r="F10" s="8">
        <f>E10</f>
        <v>1</v>
      </c>
      <c r="G10" s="7"/>
      <c r="H10" s="10">
        <v>1</v>
      </c>
      <c r="I10" s="8">
        <f>Totals!$C$11*H10</f>
        <v>1.0275</v>
      </c>
      <c r="J10" s="7"/>
      <c r="K10" s="7">
        <v>2</v>
      </c>
      <c r="L10" s="8">
        <f>Totals!$D$11*K10</f>
        <v>2.112</v>
      </c>
      <c r="M10" s="7"/>
      <c r="N10" s="7">
        <v>4</v>
      </c>
      <c r="O10" s="8">
        <f>Totals!$E$11*N10</f>
        <v>4.34</v>
      </c>
      <c r="P10" s="7"/>
      <c r="Q10" s="8">
        <f t="shared" si="0"/>
        <v>8</v>
      </c>
      <c r="R10" s="8">
        <f t="shared" si="0"/>
        <v>8.4795</v>
      </c>
      <c r="S10" s="7" t="s">
        <v>149</v>
      </c>
    </row>
    <row r="11" spans="1:19" ht="12.75">
      <c r="A11" s="7"/>
      <c r="C11" s="7" t="s">
        <v>28</v>
      </c>
      <c r="D11" s="7"/>
      <c r="E11" s="15">
        <f>SUM(E6:E10)</f>
        <v>0</v>
      </c>
      <c r="F11" s="15">
        <f>SUM(F6:F10)</f>
        <v>0</v>
      </c>
      <c r="G11" s="7"/>
      <c r="H11" s="15">
        <f>SUM(H6:H10)</f>
        <v>0</v>
      </c>
      <c r="I11" s="15">
        <f>SUM(I6:I10)</f>
        <v>0</v>
      </c>
      <c r="J11" s="7"/>
      <c r="K11" s="8">
        <f>SUM(K6:K10)</f>
        <v>2</v>
      </c>
      <c r="L11" s="15">
        <f>SUM(L6:L10)</f>
        <v>2.112</v>
      </c>
      <c r="M11" s="7"/>
      <c r="N11" s="8">
        <f>SUM(N6:N10)</f>
        <v>16</v>
      </c>
      <c r="O11" s="15">
        <f>SUM(O6:O10)</f>
        <v>17.36</v>
      </c>
      <c r="P11" s="7"/>
      <c r="Q11" s="8">
        <f t="shared" si="0"/>
        <v>18</v>
      </c>
      <c r="R11" s="8">
        <f t="shared" si="0"/>
        <v>19.472</v>
      </c>
      <c r="S11" s="7"/>
    </row>
    <row r="12" spans="1:19" ht="12.75">
      <c r="A12" s="7"/>
      <c r="C12" s="7"/>
      <c r="D12" s="7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7"/>
      <c r="S12" s="7"/>
    </row>
    <row r="13" spans="1:19" ht="12.75">
      <c r="A13" s="6" t="s">
        <v>30</v>
      </c>
      <c r="C13" s="7"/>
      <c r="D13" s="7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7"/>
    </row>
    <row r="14" spans="1:19" ht="12.75">
      <c r="A14" s="7" t="s">
        <v>196</v>
      </c>
      <c r="C14" s="7"/>
      <c r="D14" s="7"/>
      <c r="E14" s="7">
        <v>-3</v>
      </c>
      <c r="F14" s="8">
        <f aca="true" t="shared" si="1" ref="F14:F19">E14</f>
        <v>-3</v>
      </c>
      <c r="G14" s="7"/>
      <c r="H14" s="10">
        <v>-2</v>
      </c>
      <c r="I14" s="8">
        <f>Totals!$C$11*H14</f>
        <v>-2.055</v>
      </c>
      <c r="J14" s="7"/>
      <c r="K14" s="7">
        <v>-2</v>
      </c>
      <c r="L14" s="8">
        <f>Totals!$D$11*K14</f>
        <v>-2.112</v>
      </c>
      <c r="M14" s="7"/>
      <c r="N14" s="7">
        <v>0</v>
      </c>
      <c r="O14" s="8">
        <f>Totals!$E$11*N14</f>
        <v>0</v>
      </c>
      <c r="P14" s="7"/>
      <c r="Q14" s="8">
        <f>E14+H14+K14+N14</f>
        <v>-7</v>
      </c>
      <c r="R14" s="8">
        <f>F14+I14+L14+O14</f>
        <v>-7.167</v>
      </c>
      <c r="S14" s="7"/>
    </row>
    <row r="15" spans="1:19" ht="12.75">
      <c r="A15" s="7" t="s">
        <v>86</v>
      </c>
      <c r="C15" s="7"/>
      <c r="D15" s="7"/>
      <c r="E15" s="7">
        <v>1</v>
      </c>
      <c r="F15" s="8">
        <f t="shared" si="1"/>
        <v>1</v>
      </c>
      <c r="G15" s="7"/>
      <c r="H15" s="10">
        <v>1</v>
      </c>
      <c r="I15" s="8">
        <f>Totals!$C$11*H15</f>
        <v>1.0275</v>
      </c>
      <c r="J15" s="7"/>
      <c r="K15" s="7">
        <v>1</v>
      </c>
      <c r="L15" s="8">
        <f>Totals!$D$11*K15</f>
        <v>1.056</v>
      </c>
      <c r="M15" s="7"/>
      <c r="N15" s="7">
        <v>1</v>
      </c>
      <c r="O15" s="8">
        <f>Totals!$E$11*N15</f>
        <v>1.085</v>
      </c>
      <c r="P15" s="7"/>
      <c r="Q15" s="8">
        <f>E15+H15+K15+N15</f>
        <v>4</v>
      </c>
      <c r="R15" s="8">
        <f>F15+I15+L15+O15</f>
        <v>4.1685</v>
      </c>
      <c r="S15" s="7"/>
    </row>
    <row r="16" spans="1:19" ht="12.75">
      <c r="A16" s="7" t="s">
        <v>87</v>
      </c>
      <c r="C16" s="7"/>
      <c r="D16" s="7"/>
      <c r="E16" s="7">
        <v>1</v>
      </c>
      <c r="F16" s="8">
        <f t="shared" si="1"/>
        <v>1</v>
      </c>
      <c r="G16" s="7"/>
      <c r="H16" s="10">
        <v>1</v>
      </c>
      <c r="I16" s="8">
        <f>Totals!$C$11*H16</f>
        <v>1.0275</v>
      </c>
      <c r="J16" s="7"/>
      <c r="K16" s="7">
        <v>1</v>
      </c>
      <c r="L16" s="8">
        <f>Totals!$D$11*K16</f>
        <v>1.056</v>
      </c>
      <c r="M16" s="7"/>
      <c r="N16" s="7">
        <v>0</v>
      </c>
      <c r="O16" s="8">
        <f>Totals!$E$11*N16</f>
        <v>0</v>
      </c>
      <c r="P16" s="7"/>
      <c r="Q16" s="8">
        <f aca="true" t="shared" si="2" ref="Q16:R20">E16+H16+K16+N16</f>
        <v>3</v>
      </c>
      <c r="R16" s="8">
        <f t="shared" si="2"/>
        <v>3.0835</v>
      </c>
      <c r="S16" s="7" t="s">
        <v>150</v>
      </c>
    </row>
    <row r="17" spans="1:19" ht="12.75">
      <c r="A17" s="7" t="s">
        <v>43</v>
      </c>
      <c r="C17" s="7"/>
      <c r="D17" s="7"/>
      <c r="E17" s="7">
        <v>1</v>
      </c>
      <c r="F17" s="8">
        <f t="shared" si="1"/>
        <v>1</v>
      </c>
      <c r="G17" s="7"/>
      <c r="H17" s="10">
        <v>2</v>
      </c>
      <c r="I17" s="8">
        <f>Totals!$C$11*H17</f>
        <v>2.055</v>
      </c>
      <c r="J17" s="7"/>
      <c r="K17" s="7">
        <v>2</v>
      </c>
      <c r="L17" s="8">
        <f>Totals!$D$11*K17</f>
        <v>2.112</v>
      </c>
      <c r="M17" s="7"/>
      <c r="N17" s="7">
        <v>1</v>
      </c>
      <c r="O17" s="8">
        <f>Totals!$E$11*N17</f>
        <v>1.085</v>
      </c>
      <c r="P17" s="7"/>
      <c r="Q17" s="8">
        <f t="shared" si="2"/>
        <v>6</v>
      </c>
      <c r="R17" s="8">
        <f t="shared" si="2"/>
        <v>6.252</v>
      </c>
      <c r="S17" s="7" t="s">
        <v>172</v>
      </c>
    </row>
    <row r="18" spans="1:19" ht="12.75">
      <c r="A18" t="s">
        <v>161</v>
      </c>
      <c r="C18" s="7"/>
      <c r="D18" s="7"/>
      <c r="E18" s="7">
        <v>0</v>
      </c>
      <c r="F18" s="8">
        <f t="shared" si="1"/>
        <v>0</v>
      </c>
      <c r="G18" s="7"/>
      <c r="H18" s="10">
        <v>1</v>
      </c>
      <c r="I18" s="8">
        <f>Totals!$C$11*H18</f>
        <v>1.0275</v>
      </c>
      <c r="J18" s="7"/>
      <c r="K18" s="7">
        <v>0</v>
      </c>
      <c r="L18" s="8">
        <f>Totals!$D$11*K18</f>
        <v>0</v>
      </c>
      <c r="M18" s="7"/>
      <c r="N18" s="7">
        <v>0</v>
      </c>
      <c r="O18" s="8">
        <f>Totals!$E$11*N18</f>
        <v>0</v>
      </c>
      <c r="P18" s="7"/>
      <c r="Q18" s="8">
        <f t="shared" si="2"/>
        <v>1</v>
      </c>
      <c r="R18" s="8">
        <f t="shared" si="2"/>
        <v>1.0275</v>
      </c>
      <c r="S18" s="7" t="s">
        <v>152</v>
      </c>
    </row>
    <row r="19" spans="1:19" ht="12.75">
      <c r="A19" t="s">
        <v>160</v>
      </c>
      <c r="C19" s="7"/>
      <c r="D19" s="7"/>
      <c r="E19" s="7">
        <v>0</v>
      </c>
      <c r="F19" s="8">
        <f t="shared" si="1"/>
        <v>0</v>
      </c>
      <c r="G19" s="7"/>
      <c r="H19" s="10">
        <v>0</v>
      </c>
      <c r="I19" s="8">
        <f>Totals!$C$11*H19</f>
        <v>0</v>
      </c>
      <c r="J19" s="7"/>
      <c r="K19" s="7">
        <v>0</v>
      </c>
      <c r="L19" s="8">
        <f>Totals!$D$11*K19</f>
        <v>0</v>
      </c>
      <c r="M19" s="7"/>
      <c r="N19" s="7">
        <v>2</v>
      </c>
      <c r="O19" s="8">
        <f>Totals!$E$11*N19</f>
        <v>2.17</v>
      </c>
      <c r="P19" s="7"/>
      <c r="Q19" s="8">
        <f t="shared" si="2"/>
        <v>2</v>
      </c>
      <c r="R19" s="8">
        <f t="shared" si="2"/>
        <v>2.17</v>
      </c>
      <c r="S19" s="7" t="s">
        <v>175</v>
      </c>
    </row>
    <row r="20" spans="1:19" ht="12.75">
      <c r="A20" s="7"/>
      <c r="C20" s="7" t="s">
        <v>32</v>
      </c>
      <c r="D20" s="7"/>
      <c r="E20" s="10">
        <f>SUM(E14:E19)</f>
        <v>0</v>
      </c>
      <c r="F20" s="10">
        <f>SUM(F14:F19)</f>
        <v>0</v>
      </c>
      <c r="G20" s="7"/>
      <c r="H20" s="7">
        <f>SUM(H14:H19)</f>
        <v>3</v>
      </c>
      <c r="I20" s="15">
        <f>SUM(I14:I19)</f>
        <v>3.0825000000000005</v>
      </c>
      <c r="J20" s="8"/>
      <c r="K20" s="8">
        <f>SUM(K14:K19)</f>
        <v>2</v>
      </c>
      <c r="L20" s="15">
        <f>SUM(L14:L19)</f>
        <v>2.112</v>
      </c>
      <c r="M20" s="8"/>
      <c r="N20" s="8">
        <f>SUM(N14:N19)</f>
        <v>4</v>
      </c>
      <c r="O20" s="15">
        <f>SUM(O14:O19)</f>
        <v>4.34</v>
      </c>
      <c r="P20" s="7"/>
      <c r="Q20" s="8">
        <f t="shared" si="2"/>
        <v>9</v>
      </c>
      <c r="R20" s="8">
        <f t="shared" si="2"/>
        <v>9.534500000000001</v>
      </c>
      <c r="S20" s="7"/>
    </row>
    <row r="21" spans="1:19" ht="12.75">
      <c r="A21" s="7"/>
      <c r="C21" s="7"/>
      <c r="D21" s="7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6" t="s">
        <v>18</v>
      </c>
      <c r="C22" s="7"/>
      <c r="D22" s="7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7" t="s">
        <v>61</v>
      </c>
      <c r="C23" s="7"/>
      <c r="D23" s="7"/>
      <c r="E23" s="7">
        <v>1</v>
      </c>
      <c r="F23" s="8">
        <f>E23</f>
        <v>1</v>
      </c>
      <c r="G23" s="7"/>
      <c r="H23" s="7">
        <v>1</v>
      </c>
      <c r="I23" s="8">
        <f>Totals!$C$11*H23</f>
        <v>1.0275</v>
      </c>
      <c r="J23" s="7"/>
      <c r="K23" s="7">
        <v>1</v>
      </c>
      <c r="L23" s="8">
        <f>Totals!$D$11*K23</f>
        <v>1.056</v>
      </c>
      <c r="M23" s="7"/>
      <c r="N23" s="7">
        <v>1</v>
      </c>
      <c r="O23" s="8">
        <f>Totals!$E$11*N23</f>
        <v>1.085</v>
      </c>
      <c r="P23" s="7"/>
      <c r="Q23" s="8">
        <f>E23+H23+K23+N23</f>
        <v>4</v>
      </c>
      <c r="R23" s="8">
        <f>F23+I23+L23+O23</f>
        <v>4.1685</v>
      </c>
      <c r="S23" s="7"/>
    </row>
    <row r="24" spans="1:19" ht="12.75">
      <c r="A24" s="7"/>
      <c r="C24" s="7" t="s">
        <v>36</v>
      </c>
      <c r="D24" s="7"/>
      <c r="E24" s="10">
        <f>SUM(E23:E23)</f>
        <v>1</v>
      </c>
      <c r="F24" s="10">
        <f>SUM(F23:F23)</f>
        <v>1</v>
      </c>
      <c r="G24" s="7"/>
      <c r="H24" s="7">
        <f>SUM(H23:H23)</f>
        <v>1</v>
      </c>
      <c r="I24" s="15">
        <f>SUM(I23:I23)</f>
        <v>1.0275</v>
      </c>
      <c r="J24" s="8"/>
      <c r="K24" s="8">
        <f>SUM(K23:K23)</f>
        <v>1</v>
      </c>
      <c r="L24" s="15">
        <f>SUM(L23:L23)</f>
        <v>1.056</v>
      </c>
      <c r="M24" s="8"/>
      <c r="N24" s="8">
        <f>SUM(N23:N23)</f>
        <v>1</v>
      </c>
      <c r="O24" s="15">
        <f>SUM(O23:O23)</f>
        <v>1.085</v>
      </c>
      <c r="P24" s="7"/>
      <c r="Q24" s="8">
        <f>E24+H24+K24+N24</f>
        <v>4</v>
      </c>
      <c r="R24" s="8">
        <f>F24+I24+L24+O24</f>
        <v>4.1685</v>
      </c>
      <c r="S24" s="7"/>
    </row>
    <row r="25" spans="1:19" ht="12.75">
      <c r="A25" s="7"/>
      <c r="C25" s="7"/>
      <c r="D25" s="7"/>
      <c r="E25" s="10"/>
      <c r="F25" s="8"/>
      <c r="G25" s="7"/>
      <c r="H25" s="7"/>
      <c r="I25" s="8"/>
      <c r="J25" s="7"/>
      <c r="K25" s="7"/>
      <c r="L25" s="8"/>
      <c r="M25" s="7"/>
      <c r="N25" s="7"/>
      <c r="O25" s="8"/>
      <c r="P25" s="7"/>
      <c r="Q25" s="8"/>
      <c r="R25" s="8"/>
      <c r="S25" s="7"/>
    </row>
    <row r="26" spans="1:19" ht="12.75">
      <c r="A26" s="6" t="s">
        <v>182</v>
      </c>
      <c r="C26" s="7" t="s">
        <v>37</v>
      </c>
      <c r="D26" s="9"/>
      <c r="E26" s="15">
        <f>E3+E11+E20+E24</f>
        <v>1</v>
      </c>
      <c r="F26" s="15">
        <f>F3+F11+F20+F24</f>
        <v>1</v>
      </c>
      <c r="G26" s="9"/>
      <c r="H26" s="15">
        <f>H3+H11+H20+H24</f>
        <v>4</v>
      </c>
      <c r="I26" s="15">
        <f>I3+I11+I20+I24</f>
        <v>4.11</v>
      </c>
      <c r="J26" s="9"/>
      <c r="K26" s="15">
        <f>K3+K11+K20+K24</f>
        <v>5</v>
      </c>
      <c r="L26" s="15">
        <f>L3+L11+L20+L24</f>
        <v>5.28</v>
      </c>
      <c r="M26" s="9"/>
      <c r="N26" s="15">
        <f>N3+N11+N20+N24</f>
        <v>21</v>
      </c>
      <c r="O26" s="15">
        <f>O3+O11+O20+O24</f>
        <v>22.785</v>
      </c>
      <c r="P26" s="9"/>
      <c r="Q26" s="8">
        <f>E26+H26+K26+N26</f>
        <v>31</v>
      </c>
      <c r="R26" s="8">
        <f>F26+I26+L26+O26</f>
        <v>33.175</v>
      </c>
      <c r="S26" s="7"/>
    </row>
    <row r="27" spans="1:19" ht="12.75">
      <c r="A27" s="6"/>
      <c r="C27" s="7" t="s">
        <v>184</v>
      </c>
      <c r="D27" s="9"/>
      <c r="E27" s="15"/>
      <c r="F27" s="8">
        <f>F26</f>
        <v>1</v>
      </c>
      <c r="G27" s="9"/>
      <c r="H27" s="15"/>
      <c r="I27" s="8">
        <f>F27+I26</f>
        <v>5.11</v>
      </c>
      <c r="J27" s="9"/>
      <c r="K27" s="15"/>
      <c r="L27" s="8">
        <f>I27+L26</f>
        <v>10.39</v>
      </c>
      <c r="M27" s="9"/>
      <c r="N27" s="15"/>
      <c r="O27" s="8">
        <f>L27+O26</f>
        <v>33.175</v>
      </c>
      <c r="P27" s="9"/>
      <c r="Q27" s="8"/>
      <c r="R27" s="8"/>
      <c r="S27" s="7"/>
    </row>
    <row r="28" spans="1:19" ht="12.75">
      <c r="A28" s="7"/>
      <c r="C28" s="7"/>
      <c r="D28" s="7"/>
      <c r="E28" s="10"/>
      <c r="F28" s="8"/>
      <c r="G28" s="7"/>
      <c r="H28" s="7"/>
      <c r="I28" s="8"/>
      <c r="J28" s="7"/>
      <c r="K28" s="7"/>
      <c r="L28" s="8"/>
      <c r="M28" s="7"/>
      <c r="N28" s="7"/>
      <c r="O28" s="8"/>
      <c r="P28" s="7"/>
      <c r="Q28" s="8"/>
      <c r="R28" s="8"/>
      <c r="S28" s="7"/>
    </row>
    <row r="29" ht="12.75">
      <c r="A29" s="6" t="s">
        <v>181</v>
      </c>
    </row>
    <row r="30" spans="1:19" ht="12.75">
      <c r="A30" t="s">
        <v>0</v>
      </c>
      <c r="B30" t="s">
        <v>22</v>
      </c>
      <c r="C30" s="7" t="s">
        <v>11</v>
      </c>
      <c r="D30" s="10" t="s">
        <v>177</v>
      </c>
      <c r="E30" s="14" t="s">
        <v>9</v>
      </c>
      <c r="F30" s="14" t="s">
        <v>178</v>
      </c>
      <c r="G30" s="10" t="s">
        <v>177</v>
      </c>
      <c r="H30" s="14" t="s">
        <v>9</v>
      </c>
      <c r="I30" s="14" t="s">
        <v>178</v>
      </c>
      <c r="J30" s="10" t="s">
        <v>177</v>
      </c>
      <c r="K30" s="14" t="s">
        <v>9</v>
      </c>
      <c r="L30" s="14" t="s">
        <v>178</v>
      </c>
      <c r="M30" s="10" t="s">
        <v>177</v>
      </c>
      <c r="N30" s="14" t="s">
        <v>9</v>
      </c>
      <c r="O30" s="14" t="s">
        <v>178</v>
      </c>
      <c r="P30" s="10" t="s">
        <v>177</v>
      </c>
      <c r="Q30" s="14" t="s">
        <v>9</v>
      </c>
      <c r="R30" s="14" t="s">
        <v>178</v>
      </c>
      <c r="S30" s="7"/>
    </row>
    <row r="31" spans="1:19" ht="12.75">
      <c r="A31" s="7" t="s">
        <v>128</v>
      </c>
      <c r="B31" s="7" t="s">
        <v>21</v>
      </c>
      <c r="C31" s="7" t="s">
        <v>42</v>
      </c>
      <c r="D31" s="8">
        <v>1</v>
      </c>
      <c r="E31" s="15">
        <f>D31*Staff!$D$32</f>
        <v>5.922166666666667</v>
      </c>
      <c r="F31" s="8">
        <f>E31</f>
        <v>5.922166666666667</v>
      </c>
      <c r="G31" s="8">
        <v>1</v>
      </c>
      <c r="H31" s="15">
        <f>G31*Staff!$E$32</f>
        <v>6.070250000000001</v>
      </c>
      <c r="I31" s="8">
        <f>Totals!$C$11*H31</f>
        <v>6.237181875000001</v>
      </c>
      <c r="J31" s="8">
        <v>4</v>
      </c>
      <c r="K31" s="15">
        <f>J31*Staff!$F$32</f>
        <v>24.888</v>
      </c>
      <c r="L31" s="8">
        <f>Totals!$D$11*K31</f>
        <v>26.281728000000005</v>
      </c>
      <c r="M31" s="8">
        <v>4</v>
      </c>
      <c r="N31" s="15">
        <f>M31*Staff!$G$32</f>
        <v>25.480333333333338</v>
      </c>
      <c r="O31" s="8">
        <f>Totals!$E$11*N31</f>
        <v>27.64616166666667</v>
      </c>
      <c r="P31" s="8">
        <f aca="true" t="shared" si="3" ref="P31:R35">D31+G31+J31+M31</f>
        <v>10</v>
      </c>
      <c r="Q31" s="8">
        <f t="shared" si="3"/>
        <v>62.36075000000001</v>
      </c>
      <c r="R31" s="8">
        <f t="shared" si="3"/>
        <v>66.08723820833335</v>
      </c>
      <c r="S31" s="7"/>
    </row>
    <row r="32" spans="1:19" ht="12.75">
      <c r="A32" s="7" t="s">
        <v>129</v>
      </c>
      <c r="B32" s="7" t="s">
        <v>21</v>
      </c>
      <c r="C32" s="7" t="s">
        <v>42</v>
      </c>
      <c r="D32" s="8">
        <v>1</v>
      </c>
      <c r="E32" s="15">
        <f>D32*Staff!$D$31</f>
        <v>5.725750000000001</v>
      </c>
      <c r="F32" s="8">
        <f>E32</f>
        <v>5.725750000000001</v>
      </c>
      <c r="G32" s="8">
        <v>1</v>
      </c>
      <c r="H32" s="15">
        <f>G32*Staff!$E$31</f>
        <v>6.0955</v>
      </c>
      <c r="I32" s="8">
        <f>Totals!$C$11*H32</f>
        <v>6.263126250000001</v>
      </c>
      <c r="J32" s="8">
        <v>1</v>
      </c>
      <c r="K32" s="15">
        <f>J32*Staff!$F$31</f>
        <v>6.37725</v>
      </c>
      <c r="L32" s="8">
        <f>Totals!$D$11*K32</f>
        <v>6.734376</v>
      </c>
      <c r="M32" s="8">
        <v>1</v>
      </c>
      <c r="N32" s="15">
        <f>M32*Staff!$G$31</f>
        <v>6.747000000000001</v>
      </c>
      <c r="O32" s="8">
        <f>Totals!$E$11*N32</f>
        <v>7.320495</v>
      </c>
      <c r="P32" s="8">
        <f t="shared" si="3"/>
        <v>4</v>
      </c>
      <c r="Q32" s="8">
        <f t="shared" si="3"/>
        <v>24.945500000000003</v>
      </c>
      <c r="R32" s="8">
        <f t="shared" si="3"/>
        <v>26.043747250000003</v>
      </c>
      <c r="S32" s="7"/>
    </row>
    <row r="33" spans="1:19" ht="12.75">
      <c r="A33" s="7" t="s">
        <v>130</v>
      </c>
      <c r="B33" s="7" t="s">
        <v>24</v>
      </c>
      <c r="C33" s="7" t="s">
        <v>42</v>
      </c>
      <c r="D33" s="8">
        <v>1</v>
      </c>
      <c r="E33" s="15">
        <f>D33*Staff!$D$27</f>
        <v>3.998333333333333</v>
      </c>
      <c r="F33" s="8">
        <f>E33</f>
        <v>3.998333333333333</v>
      </c>
      <c r="G33" s="8">
        <v>1</v>
      </c>
      <c r="H33" s="15">
        <f>G33*Staff!$E$27</f>
        <v>4.276</v>
      </c>
      <c r="I33" s="8">
        <f>Totals!$C$11*H33</f>
        <v>4.3935900000000006</v>
      </c>
      <c r="J33" s="8">
        <v>2</v>
      </c>
      <c r="K33" s="15">
        <f>J33*Staff!$F$27</f>
        <v>9.0855</v>
      </c>
      <c r="L33" s="8">
        <f>Totals!$D$11*K33</f>
        <v>9.594288</v>
      </c>
      <c r="M33" s="8">
        <v>2</v>
      </c>
      <c r="N33" s="15">
        <f>M33*Staff!$G$27</f>
        <v>9.640833333333333</v>
      </c>
      <c r="O33" s="8">
        <f>Totals!$E$11*N33</f>
        <v>10.460304166666667</v>
      </c>
      <c r="P33" s="8">
        <f t="shared" si="3"/>
        <v>6</v>
      </c>
      <c r="Q33" s="8">
        <f t="shared" si="3"/>
        <v>27.000666666666667</v>
      </c>
      <c r="R33" s="8">
        <f t="shared" si="3"/>
        <v>28.446515500000004</v>
      </c>
      <c r="S33" s="7"/>
    </row>
    <row r="34" spans="1:19" ht="12.75">
      <c r="A34" s="7" t="s">
        <v>131</v>
      </c>
      <c r="B34" s="7" t="s">
        <v>24</v>
      </c>
      <c r="C34" s="7" t="s">
        <v>42</v>
      </c>
      <c r="D34" s="8">
        <v>1</v>
      </c>
      <c r="E34" s="15">
        <f>D34*Staff!$D$26</f>
        <v>2.9435000000000002</v>
      </c>
      <c r="F34" s="8">
        <f>E34</f>
        <v>2.9435000000000002</v>
      </c>
      <c r="G34" s="8">
        <v>1</v>
      </c>
      <c r="H34" s="15">
        <f>G34*Staff!$E$26</f>
        <v>3.1063333333333336</v>
      </c>
      <c r="I34" s="8">
        <f>Totals!$C$11*H34</f>
        <v>3.1917575000000005</v>
      </c>
      <c r="J34" s="8">
        <v>2</v>
      </c>
      <c r="K34" s="15">
        <f>J34*Staff!$F$26</f>
        <v>6.623166666666666</v>
      </c>
      <c r="L34" s="8">
        <f>Totals!$D$11*K34</f>
        <v>6.994064</v>
      </c>
      <c r="M34" s="8">
        <v>2</v>
      </c>
      <c r="N34" s="15">
        <f>M34*Staff!$G$26</f>
        <v>6.948833333333333</v>
      </c>
      <c r="O34" s="8">
        <f>Totals!$E$11*N34</f>
        <v>7.539484166666666</v>
      </c>
      <c r="P34" s="8">
        <f t="shared" si="3"/>
        <v>6</v>
      </c>
      <c r="Q34" s="8">
        <f t="shared" si="3"/>
        <v>19.621833333333335</v>
      </c>
      <c r="R34" s="8">
        <f t="shared" si="3"/>
        <v>20.668805666666664</v>
      </c>
      <c r="S34" s="7"/>
    </row>
    <row r="35" spans="1:19" ht="12.75">
      <c r="A35" s="7" t="s">
        <v>132</v>
      </c>
      <c r="B35" s="7" t="s">
        <v>24</v>
      </c>
      <c r="C35" s="7" t="s">
        <v>42</v>
      </c>
      <c r="D35" s="8">
        <v>1</v>
      </c>
      <c r="E35" s="15">
        <f>D35*Staff!$D$30</f>
        <v>2.3937500000000003</v>
      </c>
      <c r="F35" s="8">
        <f>E35</f>
        <v>2.3937500000000003</v>
      </c>
      <c r="G35" s="8">
        <v>1</v>
      </c>
      <c r="H35" s="15">
        <f>G35*Staff!$E$30</f>
        <v>2.5261666666666667</v>
      </c>
      <c r="I35" s="8">
        <f>Totals!$C$11*H35</f>
        <v>2.59563625</v>
      </c>
      <c r="J35" s="8">
        <v>1</v>
      </c>
      <c r="K35" s="15">
        <f>J35*Staff!$F$30</f>
        <v>2.66775</v>
      </c>
      <c r="L35" s="8">
        <f>Totals!$D$11*K35</f>
        <v>2.817144</v>
      </c>
      <c r="M35" s="8">
        <v>1</v>
      </c>
      <c r="N35" s="15">
        <f>M35*Staff!$G$30</f>
        <v>2.8001666666666662</v>
      </c>
      <c r="O35" s="8">
        <f>Totals!$E$11*N35</f>
        <v>3.0381808333333327</v>
      </c>
      <c r="P35" s="8">
        <f t="shared" si="3"/>
        <v>4</v>
      </c>
      <c r="Q35" s="8">
        <f t="shared" si="3"/>
        <v>10.387833333333333</v>
      </c>
      <c r="R35" s="8">
        <f t="shared" si="3"/>
        <v>10.844711083333333</v>
      </c>
      <c r="S35" s="7"/>
    </row>
    <row r="36" spans="3:19" ht="12.75">
      <c r="C36" s="7" t="s">
        <v>29</v>
      </c>
      <c r="D36" s="8">
        <f aca="true" t="shared" si="4" ref="D36:R36">SUM(D31:D35)</f>
        <v>5</v>
      </c>
      <c r="E36" s="8">
        <f t="shared" si="4"/>
        <v>20.983500000000003</v>
      </c>
      <c r="F36" s="8">
        <f t="shared" si="4"/>
        <v>20.983500000000003</v>
      </c>
      <c r="G36" s="8">
        <f t="shared" si="4"/>
        <v>5</v>
      </c>
      <c r="H36" s="8">
        <f t="shared" si="4"/>
        <v>22.07425</v>
      </c>
      <c r="I36" s="8">
        <f t="shared" si="4"/>
        <v>22.681291875000007</v>
      </c>
      <c r="J36" s="8">
        <f t="shared" si="4"/>
        <v>10</v>
      </c>
      <c r="K36" s="8">
        <f t="shared" si="4"/>
        <v>49.641666666666666</v>
      </c>
      <c r="L36" s="8">
        <f t="shared" si="4"/>
        <v>52.421600000000005</v>
      </c>
      <c r="M36" s="8">
        <f t="shared" si="4"/>
        <v>10</v>
      </c>
      <c r="N36" s="8">
        <f t="shared" si="4"/>
        <v>51.61716666666668</v>
      </c>
      <c r="O36" s="8">
        <f t="shared" si="4"/>
        <v>56.00462583333334</v>
      </c>
      <c r="P36" s="8">
        <f t="shared" si="4"/>
        <v>30</v>
      </c>
      <c r="Q36" s="8">
        <f t="shared" si="4"/>
        <v>144.31658333333334</v>
      </c>
      <c r="R36" s="8">
        <f t="shared" si="4"/>
        <v>152.09101770833334</v>
      </c>
      <c r="S36" s="7"/>
    </row>
    <row r="37" spans="3:19" ht="12.75">
      <c r="C37" s="7"/>
      <c r="D37" s="9"/>
      <c r="E37" s="15"/>
      <c r="F37" s="8"/>
      <c r="G37" s="9"/>
      <c r="H37" s="8"/>
      <c r="I37" s="8"/>
      <c r="J37" s="9"/>
      <c r="K37" s="8"/>
      <c r="L37" s="8"/>
      <c r="M37" s="9"/>
      <c r="N37" s="8"/>
      <c r="O37" s="8"/>
      <c r="P37" s="9"/>
      <c r="Q37" s="7"/>
      <c r="R37" s="7"/>
      <c r="S37" s="7"/>
    </row>
    <row r="38" spans="1:19" ht="12.75">
      <c r="A38" s="6" t="s">
        <v>183</v>
      </c>
      <c r="C38" s="7" t="s">
        <v>37</v>
      </c>
      <c r="D38" s="9"/>
      <c r="E38" s="15">
        <f>E26+E36</f>
        <v>21.983500000000003</v>
      </c>
      <c r="F38" s="15">
        <f>F26+F36</f>
        <v>21.983500000000003</v>
      </c>
      <c r="G38" s="9"/>
      <c r="H38" s="15">
        <f>H26+H36</f>
        <v>26.07425</v>
      </c>
      <c r="I38" s="15">
        <f>I26+I36</f>
        <v>26.791291875000006</v>
      </c>
      <c r="J38" s="9"/>
      <c r="K38" s="15">
        <f>K26+K36</f>
        <v>54.641666666666666</v>
      </c>
      <c r="L38" s="15">
        <f>L26+L36</f>
        <v>57.701600000000006</v>
      </c>
      <c r="M38" s="9"/>
      <c r="N38" s="15">
        <f>N26+N36</f>
        <v>72.61716666666668</v>
      </c>
      <c r="O38" s="15">
        <f>O26+O36</f>
        <v>78.78962583333335</v>
      </c>
      <c r="P38" s="9"/>
      <c r="Q38" s="15">
        <f>Q26+Q36</f>
        <v>175.31658333333334</v>
      </c>
      <c r="R38" s="18">
        <f>R26+R36</f>
        <v>185.26601770833332</v>
      </c>
      <c r="S38" s="7"/>
    </row>
    <row r="39" spans="3:19" ht="12.75">
      <c r="C39" s="7"/>
      <c r="D39" s="9"/>
      <c r="E39" s="15"/>
      <c r="F39" s="8"/>
      <c r="G39" s="9"/>
      <c r="H39" s="8"/>
      <c r="I39" s="8"/>
      <c r="J39" s="9"/>
      <c r="K39" s="8"/>
      <c r="L39" s="8"/>
      <c r="M39" s="9"/>
      <c r="N39" s="8"/>
      <c r="O39" s="8"/>
      <c r="P39" s="9"/>
      <c r="Q39" s="7"/>
      <c r="R39" s="7"/>
      <c r="S39" s="7"/>
    </row>
    <row r="40" spans="3:19" ht="12.75">
      <c r="C40" s="7"/>
      <c r="D40" s="7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7" s="3" customFormat="1" ht="12.75">
      <c r="A41" s="6" t="s">
        <v>62</v>
      </c>
      <c r="D41" s="4"/>
      <c r="E41" s="16"/>
      <c r="F41" s="5"/>
      <c r="H41" s="5"/>
      <c r="I41" s="5"/>
      <c r="K41" s="5"/>
      <c r="L41" s="5"/>
      <c r="N41" s="5"/>
      <c r="O41" s="5"/>
      <c r="Q41" s="5"/>
    </row>
    <row r="42" spans="1:18" ht="12.75">
      <c r="A42" t="s">
        <v>119</v>
      </c>
      <c r="B42" t="s">
        <v>55</v>
      </c>
      <c r="C42" s="7" t="s">
        <v>42</v>
      </c>
      <c r="D42" s="1">
        <v>1</v>
      </c>
      <c r="E42" s="12"/>
      <c r="F42" s="1"/>
      <c r="G42" s="1">
        <v>1</v>
      </c>
      <c r="H42" s="1"/>
      <c r="I42" s="1"/>
      <c r="J42" s="1">
        <v>1</v>
      </c>
      <c r="K42" s="1"/>
      <c r="L42" s="1"/>
      <c r="M42" s="1">
        <v>1</v>
      </c>
      <c r="N42" s="1"/>
      <c r="O42" s="1"/>
      <c r="P42" s="8">
        <f>D42+G42+J42+M42</f>
        <v>4</v>
      </c>
      <c r="Q42" s="1"/>
      <c r="R42" t="s">
        <v>56</v>
      </c>
    </row>
  </sheetData>
  <printOptions/>
  <pageMargins left="0.75" right="0.75" top="1" bottom="1" header="0.5" footer="0.5"/>
  <pageSetup fitToHeight="1" fitToWidth="1" horizontalDpi="300" verticalDpi="3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6.57421875" style="0" customWidth="1"/>
    <col min="3" max="3" width="11.28125" style="0" customWidth="1"/>
    <col min="4" max="4" width="7.7109375" style="0" customWidth="1"/>
    <col min="5" max="5" width="7.7109375" style="2" customWidth="1"/>
    <col min="6" max="18" width="7.7109375" style="0" customWidth="1"/>
  </cols>
  <sheetData>
    <row r="1" spans="1:19" ht="12.75">
      <c r="A1" t="s">
        <v>49</v>
      </c>
      <c r="D1" s="2"/>
      <c r="F1" s="2" t="s">
        <v>1</v>
      </c>
      <c r="G1" s="2"/>
      <c r="I1" s="2" t="s">
        <v>2</v>
      </c>
      <c r="J1" s="2"/>
      <c r="L1" s="2" t="s">
        <v>3</v>
      </c>
      <c r="M1" s="2"/>
      <c r="O1" s="2" t="s">
        <v>176</v>
      </c>
      <c r="P1" s="2" t="s">
        <v>4</v>
      </c>
      <c r="Q1" s="2" t="s">
        <v>4</v>
      </c>
      <c r="R1" s="13" t="s">
        <v>95</v>
      </c>
      <c r="S1" s="2" t="s">
        <v>147</v>
      </c>
    </row>
    <row r="2" ht="12.75">
      <c r="A2" s="6" t="s">
        <v>180</v>
      </c>
    </row>
    <row r="3" spans="1:19" ht="12.75">
      <c r="A3" t="s">
        <v>0</v>
      </c>
      <c r="B3" t="s">
        <v>22</v>
      </c>
      <c r="C3" s="7" t="s">
        <v>11</v>
      </c>
      <c r="D3" s="10" t="s">
        <v>177</v>
      </c>
      <c r="E3" s="14" t="s">
        <v>9</v>
      </c>
      <c r="F3" s="14" t="s">
        <v>178</v>
      </c>
      <c r="G3" s="10" t="s">
        <v>177</v>
      </c>
      <c r="H3" s="14" t="s">
        <v>9</v>
      </c>
      <c r="I3" s="14" t="s">
        <v>178</v>
      </c>
      <c r="J3" s="10" t="s">
        <v>177</v>
      </c>
      <c r="K3" s="14" t="s">
        <v>9</v>
      </c>
      <c r="L3" s="14" t="s">
        <v>178</v>
      </c>
      <c r="M3" s="10" t="s">
        <v>177</v>
      </c>
      <c r="N3" s="14" t="s">
        <v>9</v>
      </c>
      <c r="O3" s="14" t="s">
        <v>178</v>
      </c>
      <c r="P3" s="10" t="s">
        <v>177</v>
      </c>
      <c r="Q3" s="14" t="s">
        <v>9</v>
      </c>
      <c r="R3" s="14" t="s">
        <v>178</v>
      </c>
      <c r="S3" s="7"/>
    </row>
    <row r="4" spans="1:19" ht="12.75">
      <c r="A4" t="s">
        <v>123</v>
      </c>
      <c r="B4" t="s">
        <v>23</v>
      </c>
      <c r="C4" s="7" t="s">
        <v>16</v>
      </c>
      <c r="D4" s="8">
        <v>4</v>
      </c>
      <c r="E4" s="15">
        <f>D4*Staff!$D$5</f>
        <v>12.760399999999999</v>
      </c>
      <c r="F4" s="8">
        <f>E4</f>
        <v>12.760399999999999</v>
      </c>
      <c r="G4" s="8">
        <v>9</v>
      </c>
      <c r="H4" s="15">
        <f>G4*Staff!$E$5</f>
        <v>29.88036</v>
      </c>
      <c r="I4" s="8">
        <f>Totals!$C$11*H4</f>
        <v>30.7020699</v>
      </c>
      <c r="J4" s="8">
        <v>9</v>
      </c>
      <c r="K4" s="15">
        <f>J4*Staff!$F$5</f>
        <v>31.414454999999997</v>
      </c>
      <c r="L4" s="8">
        <f>Totals!$D$11*K4</f>
        <v>33.17366448</v>
      </c>
      <c r="M4" s="8">
        <v>4</v>
      </c>
      <c r="N4" s="15">
        <f>M4*Staff!$G$5</f>
        <v>14.48174</v>
      </c>
      <c r="O4" s="8">
        <f>Totals!$E$11*N4</f>
        <v>15.7126879</v>
      </c>
      <c r="P4" s="8">
        <f aca="true" t="shared" si="0" ref="P4:R9">D4+G4+J4+M4</f>
        <v>26</v>
      </c>
      <c r="Q4" s="8">
        <f t="shared" si="0"/>
        <v>88.536955</v>
      </c>
      <c r="R4" s="8">
        <f t="shared" si="0"/>
        <v>92.34882228000001</v>
      </c>
      <c r="S4" s="7"/>
    </row>
    <row r="5" spans="1:18" s="7" customFormat="1" ht="12.75">
      <c r="A5" t="s">
        <v>101</v>
      </c>
      <c r="B5" t="s">
        <v>23</v>
      </c>
      <c r="C5" s="7" t="s">
        <v>45</v>
      </c>
      <c r="D5" s="8">
        <v>0</v>
      </c>
      <c r="E5" s="15">
        <f>D5*Staff!$D$6</f>
        <v>0</v>
      </c>
      <c r="F5" s="8">
        <f>E5</f>
        <v>0</v>
      </c>
      <c r="G5" s="8">
        <v>6</v>
      </c>
      <c r="H5" s="15">
        <f>G5*Staff!$E$6</f>
        <v>22.2995</v>
      </c>
      <c r="I5" s="8">
        <f>Totals!$C$11*H5</f>
        <v>22.912736250000002</v>
      </c>
      <c r="J5" s="8">
        <v>12</v>
      </c>
      <c r="K5" s="15">
        <f>J5*Staff!$F$6</f>
        <v>46.35</v>
      </c>
      <c r="L5" s="8">
        <f>Totals!$D$11*K5</f>
        <v>48.945600000000006</v>
      </c>
      <c r="M5" s="8">
        <v>0</v>
      </c>
      <c r="N5" s="15">
        <f>M5*Staff!$G$6</f>
        <v>0</v>
      </c>
      <c r="O5" s="8">
        <f>Totals!$E$11*N5</f>
        <v>0</v>
      </c>
      <c r="P5" s="8">
        <f t="shared" si="0"/>
        <v>18</v>
      </c>
      <c r="Q5" s="8">
        <f t="shared" si="0"/>
        <v>68.6495</v>
      </c>
      <c r="R5" s="8">
        <f t="shared" si="0"/>
        <v>71.85833625000001</v>
      </c>
    </row>
    <row r="6" spans="1:19" ht="12.75">
      <c r="A6" s="7" t="s">
        <v>99</v>
      </c>
      <c r="B6" s="7" t="s">
        <v>23</v>
      </c>
      <c r="C6" s="7" t="s">
        <v>14</v>
      </c>
      <c r="D6" s="8">
        <v>0</v>
      </c>
      <c r="E6" s="15">
        <f>D6*Staff!$D$7</f>
        <v>0</v>
      </c>
      <c r="F6" s="8">
        <f>E6</f>
        <v>0</v>
      </c>
      <c r="G6" s="8">
        <v>3</v>
      </c>
      <c r="H6" s="15">
        <f>G6*Staff!$E$7</f>
        <v>11.681095</v>
      </c>
      <c r="I6" s="8">
        <f>Totals!$C$11*H6</f>
        <v>12.0023251125</v>
      </c>
      <c r="J6" s="8">
        <v>3</v>
      </c>
      <c r="K6" s="15">
        <f>J6*Staff!$F$7</f>
        <v>11.998644999999998</v>
      </c>
      <c r="L6" s="8">
        <f>Totals!$D$11*K6</f>
        <v>12.670569119999998</v>
      </c>
      <c r="M6" s="8">
        <v>1</v>
      </c>
      <c r="N6" s="15">
        <f>M6*Staff!$G$7</f>
        <v>4.102356666666667</v>
      </c>
      <c r="O6" s="8">
        <f>Totals!$E$11*N6</f>
        <v>4.451056983333333</v>
      </c>
      <c r="P6" s="8">
        <f t="shared" si="0"/>
        <v>7</v>
      </c>
      <c r="Q6" s="8">
        <f t="shared" si="0"/>
        <v>27.78209666666666</v>
      </c>
      <c r="R6" s="8">
        <f t="shared" si="0"/>
        <v>29.123951215833333</v>
      </c>
      <c r="S6" s="7"/>
    </row>
    <row r="7" spans="1:19" ht="12.75">
      <c r="A7" t="s">
        <v>117</v>
      </c>
      <c r="B7" t="s">
        <v>23</v>
      </c>
      <c r="C7" s="7" t="s">
        <v>50</v>
      </c>
      <c r="D7" s="8">
        <v>0</v>
      </c>
      <c r="E7" s="15">
        <f>D7*Staff!$D$13</f>
        <v>0</v>
      </c>
      <c r="F7" s="8">
        <f>E7</f>
        <v>0</v>
      </c>
      <c r="G7" s="8">
        <v>0</v>
      </c>
      <c r="H7" s="15">
        <f>G7*Staff!$E$13</f>
        <v>0</v>
      </c>
      <c r="I7" s="8">
        <f>Totals!$C$11*H7</f>
        <v>0</v>
      </c>
      <c r="J7" s="8">
        <v>6</v>
      </c>
      <c r="K7" s="15">
        <f>J7*Staff!$F$13</f>
        <v>22.14626168224299</v>
      </c>
      <c r="L7" s="8">
        <f>Totals!$D$11*K7</f>
        <v>23.3864523364486</v>
      </c>
      <c r="M7" s="8">
        <v>6</v>
      </c>
      <c r="N7" s="15">
        <f>M7*Staff!$G$13</f>
        <v>22.720542688157476</v>
      </c>
      <c r="O7" s="8">
        <f>Totals!$E$11*N7</f>
        <v>24.65178881665086</v>
      </c>
      <c r="P7" s="8">
        <f t="shared" si="0"/>
        <v>12</v>
      </c>
      <c r="Q7" s="8">
        <f t="shared" si="0"/>
        <v>44.866804370400466</v>
      </c>
      <c r="R7" s="8">
        <f t="shared" si="0"/>
        <v>48.03824115309946</v>
      </c>
      <c r="S7" s="7"/>
    </row>
    <row r="8" spans="1:19" ht="12.75">
      <c r="A8" t="s">
        <v>100</v>
      </c>
      <c r="B8" t="s">
        <v>23</v>
      </c>
      <c r="C8" s="7" t="s">
        <v>48</v>
      </c>
      <c r="D8" s="8">
        <v>0</v>
      </c>
      <c r="E8" s="15">
        <f>D8*Staff!$D$14</f>
        <v>0</v>
      </c>
      <c r="F8" s="8">
        <f>E8</f>
        <v>0</v>
      </c>
      <c r="G8" s="8">
        <v>1</v>
      </c>
      <c r="H8" s="15">
        <f>G8*Staff!$E$14</f>
        <v>3.6666666666666665</v>
      </c>
      <c r="I8" s="8">
        <f>Totals!$C$11*H8</f>
        <v>3.7675</v>
      </c>
      <c r="J8" s="8">
        <v>5</v>
      </c>
      <c r="K8" s="15">
        <f>J8*Staff!$F$14</f>
        <v>19.166666666666668</v>
      </c>
      <c r="L8" s="8">
        <f>Totals!$D$11*K8</f>
        <v>20.240000000000002</v>
      </c>
      <c r="M8" s="8">
        <v>3</v>
      </c>
      <c r="N8" s="15">
        <f>M8*Staff!$G$14</f>
        <v>11.875</v>
      </c>
      <c r="O8" s="8">
        <f>Totals!$E$11*N8</f>
        <v>12.884375</v>
      </c>
      <c r="P8" s="8">
        <f t="shared" si="0"/>
        <v>9</v>
      </c>
      <c r="Q8" s="8">
        <f t="shared" si="0"/>
        <v>34.708333333333336</v>
      </c>
      <c r="R8" s="8">
        <f t="shared" si="0"/>
        <v>36.891875</v>
      </c>
      <c r="S8" s="7"/>
    </row>
    <row r="9" spans="3:19" ht="12.75">
      <c r="C9" s="7" t="s">
        <v>29</v>
      </c>
      <c r="D9" s="8">
        <f aca="true" t="shared" si="1" ref="D9:O9">SUM(D4:D8)</f>
        <v>4</v>
      </c>
      <c r="E9" s="15">
        <f t="shared" si="1"/>
        <v>12.760399999999999</v>
      </c>
      <c r="F9" s="15">
        <f t="shared" si="1"/>
        <v>12.760399999999999</v>
      </c>
      <c r="G9" s="8">
        <f t="shared" si="1"/>
        <v>19</v>
      </c>
      <c r="H9" s="8">
        <f t="shared" si="1"/>
        <v>67.52762166666666</v>
      </c>
      <c r="I9" s="15">
        <f t="shared" si="1"/>
        <v>69.38463126250001</v>
      </c>
      <c r="J9" s="8">
        <f t="shared" si="1"/>
        <v>35</v>
      </c>
      <c r="K9" s="8">
        <f t="shared" si="1"/>
        <v>131.07602834890966</v>
      </c>
      <c r="L9" s="15">
        <f t="shared" si="1"/>
        <v>138.4162859364486</v>
      </c>
      <c r="M9" s="8">
        <f t="shared" si="1"/>
        <v>14</v>
      </c>
      <c r="N9" s="8">
        <f t="shared" si="1"/>
        <v>53.17963935482415</v>
      </c>
      <c r="O9" s="15">
        <f t="shared" si="1"/>
        <v>57.69990869998419</v>
      </c>
      <c r="P9" s="8">
        <f t="shared" si="0"/>
        <v>72</v>
      </c>
      <c r="Q9" s="8">
        <f t="shared" si="0"/>
        <v>264.54368937040044</v>
      </c>
      <c r="R9" s="8">
        <f t="shared" si="0"/>
        <v>278.26122589893276</v>
      </c>
      <c r="S9" s="7"/>
    </row>
    <row r="10" spans="3:19" ht="12.75">
      <c r="C10" s="7"/>
      <c r="D10" s="9"/>
      <c r="E10" s="15"/>
      <c r="F10" s="8"/>
      <c r="G10" s="9"/>
      <c r="H10" s="8"/>
      <c r="I10" s="8"/>
      <c r="J10" s="9"/>
      <c r="K10" s="8"/>
      <c r="L10" s="8"/>
      <c r="M10" s="9"/>
      <c r="N10" s="8"/>
      <c r="O10" s="8"/>
      <c r="P10" s="9"/>
      <c r="Q10" s="7"/>
      <c r="R10" s="7"/>
      <c r="S10" s="7"/>
    </row>
    <row r="11" spans="1:19" ht="12.75">
      <c r="A11" s="6" t="s">
        <v>17</v>
      </c>
      <c r="C11" s="7"/>
      <c r="D11" s="7"/>
      <c r="E11" s="1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.75">
      <c r="A12" s="7"/>
      <c r="C12" s="7" t="s">
        <v>28</v>
      </c>
      <c r="D12" s="7"/>
      <c r="E12" s="15">
        <v>0</v>
      </c>
      <c r="F12" s="8">
        <v>0</v>
      </c>
      <c r="G12" s="7"/>
      <c r="H12" s="15">
        <v>0</v>
      </c>
      <c r="I12" s="8">
        <v>0</v>
      </c>
      <c r="J12" s="7"/>
      <c r="K12" s="8">
        <v>0</v>
      </c>
      <c r="L12" s="8">
        <v>0</v>
      </c>
      <c r="M12" s="7"/>
      <c r="N12" s="8">
        <v>0</v>
      </c>
      <c r="O12" s="8">
        <v>0</v>
      </c>
      <c r="P12" s="7"/>
      <c r="Q12" s="8">
        <f>E12+H12+K12+N12</f>
        <v>0</v>
      </c>
      <c r="R12" s="8">
        <f>F12+I12+L12+O12</f>
        <v>0</v>
      </c>
      <c r="S12" s="7"/>
    </row>
    <row r="13" spans="1:19" ht="12.75">
      <c r="A13" s="7"/>
      <c r="C13" s="7"/>
      <c r="D13" s="7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7"/>
    </row>
    <row r="14" spans="1:19" ht="12.75">
      <c r="A14" s="6" t="s">
        <v>30</v>
      </c>
      <c r="C14" s="7"/>
      <c r="D14" s="7"/>
      <c r="E14" s="10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7"/>
    </row>
    <row r="15" spans="1:19" ht="12.75">
      <c r="A15" s="7" t="s">
        <v>64</v>
      </c>
      <c r="C15" s="7"/>
      <c r="D15" s="7"/>
      <c r="E15" s="10">
        <v>2</v>
      </c>
      <c r="F15" s="8">
        <f>E15</f>
        <v>2</v>
      </c>
      <c r="G15" s="7"/>
      <c r="H15" s="10">
        <v>0</v>
      </c>
      <c r="I15" s="8">
        <f>Totals!$C$11*H15</f>
        <v>0</v>
      </c>
      <c r="J15" s="7"/>
      <c r="K15" s="7">
        <v>0</v>
      </c>
      <c r="L15" s="8">
        <f>Totals!$D$11*K15</f>
        <v>0</v>
      </c>
      <c r="M15" s="7"/>
      <c r="N15" s="7">
        <v>0</v>
      </c>
      <c r="O15" s="8">
        <f>Totals!$E$11*N15</f>
        <v>0</v>
      </c>
      <c r="P15" s="7"/>
      <c r="Q15" s="8">
        <f aca="true" t="shared" si="2" ref="Q15:R17">E15+H15+K15+N15</f>
        <v>2</v>
      </c>
      <c r="R15" s="8">
        <f t="shared" si="2"/>
        <v>2</v>
      </c>
      <c r="S15" s="7"/>
    </row>
    <row r="16" spans="1:19" ht="12.75">
      <c r="A16" s="7" t="s">
        <v>65</v>
      </c>
      <c r="C16" s="7"/>
      <c r="D16" s="7"/>
      <c r="E16" s="10">
        <v>0</v>
      </c>
      <c r="F16" s="8">
        <f>E16</f>
        <v>0</v>
      </c>
      <c r="G16" s="7"/>
      <c r="H16" s="10">
        <v>0</v>
      </c>
      <c r="I16" s="8">
        <f>Totals!$C$11*H16</f>
        <v>0</v>
      </c>
      <c r="J16" s="7"/>
      <c r="K16" s="7">
        <v>2</v>
      </c>
      <c r="L16" s="8">
        <f>Totals!$D$11*K16</f>
        <v>2.112</v>
      </c>
      <c r="M16" s="7"/>
      <c r="N16" s="7">
        <v>0</v>
      </c>
      <c r="O16" s="8">
        <f>Totals!$E$11*N16</f>
        <v>0</v>
      </c>
      <c r="P16" s="7"/>
      <c r="Q16" s="8">
        <f t="shared" si="2"/>
        <v>2</v>
      </c>
      <c r="R16" s="8">
        <f t="shared" si="2"/>
        <v>2.112</v>
      </c>
      <c r="S16" s="7" t="s">
        <v>150</v>
      </c>
    </row>
    <row r="17" spans="1:19" ht="12.75">
      <c r="A17" s="7"/>
      <c r="C17" s="7" t="s">
        <v>32</v>
      </c>
      <c r="D17" s="7"/>
      <c r="E17" s="10">
        <f>SUM(E15:E16)</f>
        <v>2</v>
      </c>
      <c r="F17" s="10">
        <f>SUM(F15:F16)</f>
        <v>2</v>
      </c>
      <c r="G17" s="7"/>
      <c r="H17" s="7">
        <f>SUM(H15:H16)</f>
        <v>0</v>
      </c>
      <c r="I17" s="15">
        <f>SUM(I15:I16)</f>
        <v>0</v>
      </c>
      <c r="J17" s="7"/>
      <c r="K17" s="7">
        <f>SUM(K15:K16)</f>
        <v>2</v>
      </c>
      <c r="L17" s="15">
        <f>SUM(L15:L16)</f>
        <v>2.112</v>
      </c>
      <c r="M17" s="7"/>
      <c r="N17" s="7">
        <f>SUM(N15:N16)</f>
        <v>0</v>
      </c>
      <c r="O17" s="10">
        <f>SUM(O15:O16)</f>
        <v>0</v>
      </c>
      <c r="P17" s="7"/>
      <c r="Q17" s="8">
        <f t="shared" si="2"/>
        <v>4</v>
      </c>
      <c r="R17" s="8">
        <f t="shared" si="2"/>
        <v>4.112</v>
      </c>
      <c r="S17" s="7"/>
    </row>
    <row r="18" spans="1:19" ht="12.75">
      <c r="A18" s="7"/>
      <c r="C18" s="7"/>
      <c r="D18" s="7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6" t="s">
        <v>18</v>
      </c>
      <c r="C19" s="7"/>
      <c r="D19" s="7"/>
      <c r="E19" s="1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7" t="s">
        <v>33</v>
      </c>
      <c r="C20" s="7"/>
      <c r="D20" s="7"/>
      <c r="E20" s="10">
        <v>2</v>
      </c>
      <c r="F20" s="8">
        <f>E20</f>
        <v>2</v>
      </c>
      <c r="G20" s="7"/>
      <c r="H20" s="7">
        <v>3</v>
      </c>
      <c r="I20" s="8">
        <f>Totals!$C$11*H20</f>
        <v>3.0825000000000005</v>
      </c>
      <c r="J20" s="7"/>
      <c r="K20" s="7">
        <v>3</v>
      </c>
      <c r="L20" s="8">
        <f>Totals!$D$11*K20</f>
        <v>3.168</v>
      </c>
      <c r="M20" s="7"/>
      <c r="N20" s="7">
        <v>2</v>
      </c>
      <c r="O20" s="8">
        <f>Totals!$E$11*N20</f>
        <v>2.17</v>
      </c>
      <c r="P20" s="7"/>
      <c r="Q20" s="8">
        <f aca="true" t="shared" si="3" ref="Q20:R22">E20+H20+K20+N20</f>
        <v>10</v>
      </c>
      <c r="R20" s="8">
        <f t="shared" si="3"/>
        <v>10.4205</v>
      </c>
      <c r="S20" s="7"/>
    </row>
    <row r="21" spans="1:19" ht="12.75">
      <c r="A21" s="7" t="s">
        <v>35</v>
      </c>
      <c r="C21" s="7"/>
      <c r="D21" s="7"/>
      <c r="E21" s="10">
        <v>5</v>
      </c>
      <c r="F21" s="8">
        <f>E21</f>
        <v>5</v>
      </c>
      <c r="G21" s="7"/>
      <c r="H21" s="7">
        <v>10</v>
      </c>
      <c r="I21" s="8">
        <f>Totals!$C$11*H21</f>
        <v>10.275</v>
      </c>
      <c r="J21" s="7"/>
      <c r="K21" s="7">
        <v>15</v>
      </c>
      <c r="L21" s="8">
        <f>Totals!$D$11*K21</f>
        <v>15.84</v>
      </c>
      <c r="M21" s="7"/>
      <c r="N21" s="7">
        <v>8</v>
      </c>
      <c r="O21" s="8">
        <f>Totals!$E$11*N21</f>
        <v>8.68</v>
      </c>
      <c r="P21" s="7"/>
      <c r="Q21" s="8">
        <f t="shared" si="3"/>
        <v>38</v>
      </c>
      <c r="R21" s="8">
        <f t="shared" si="3"/>
        <v>39.795</v>
      </c>
      <c r="S21" s="7"/>
    </row>
    <row r="22" spans="1:19" ht="12.75">
      <c r="A22" s="7"/>
      <c r="C22" s="7" t="s">
        <v>36</v>
      </c>
      <c r="D22" s="7"/>
      <c r="E22" s="10">
        <f>SUM(E20:E21)</f>
        <v>7</v>
      </c>
      <c r="F22" s="10">
        <f>SUM(F20:F21)</f>
        <v>7</v>
      </c>
      <c r="G22" s="7"/>
      <c r="H22" s="7">
        <f>SUM(H20:H21)</f>
        <v>13</v>
      </c>
      <c r="I22" s="15">
        <f>SUM(I20:I21)</f>
        <v>13.357500000000002</v>
      </c>
      <c r="J22" s="8"/>
      <c r="K22" s="8">
        <f>SUM(K20:K21)</f>
        <v>18</v>
      </c>
      <c r="L22" s="15">
        <f>SUM(L20:L21)</f>
        <v>19.008</v>
      </c>
      <c r="M22" s="8"/>
      <c r="N22" s="8">
        <f>SUM(N20:N21)</f>
        <v>10</v>
      </c>
      <c r="O22" s="15">
        <f>SUM(O20:O21)</f>
        <v>10.85</v>
      </c>
      <c r="P22" s="7"/>
      <c r="Q22" s="8">
        <f t="shared" si="3"/>
        <v>48</v>
      </c>
      <c r="R22" s="8">
        <f t="shared" si="3"/>
        <v>50.2155</v>
      </c>
      <c r="S22" s="7"/>
    </row>
    <row r="23" spans="1:19" ht="12.75">
      <c r="A23" s="7"/>
      <c r="C23" s="7"/>
      <c r="D23" s="7"/>
      <c r="E23" s="10"/>
      <c r="F23" s="8"/>
      <c r="G23" s="7"/>
      <c r="H23" s="7"/>
      <c r="I23" s="8"/>
      <c r="J23" s="7"/>
      <c r="K23" s="7"/>
      <c r="L23" s="8"/>
      <c r="M23" s="7"/>
      <c r="N23" s="7"/>
      <c r="O23" s="8"/>
      <c r="P23" s="7"/>
      <c r="Q23" s="8"/>
      <c r="R23" s="8"/>
      <c r="S23" s="7"/>
    </row>
    <row r="24" spans="1:19" ht="12.75">
      <c r="A24" s="6" t="s">
        <v>182</v>
      </c>
      <c r="C24" s="7" t="s">
        <v>37</v>
      </c>
      <c r="D24" s="9"/>
      <c r="E24" s="15">
        <f>E9+E12+E17+E22</f>
        <v>21.760399999999997</v>
      </c>
      <c r="F24" s="15">
        <f>F9+F12+F17+F22</f>
        <v>21.760399999999997</v>
      </c>
      <c r="G24" s="9"/>
      <c r="H24" s="15">
        <f>H9+H12+H17+H22</f>
        <v>80.52762166666666</v>
      </c>
      <c r="I24" s="15">
        <f>I9+I12+I17+I22</f>
        <v>82.74213126250001</v>
      </c>
      <c r="J24" s="9"/>
      <c r="K24" s="15">
        <f>K9+K12+K17+K22</f>
        <v>151.07602834890966</v>
      </c>
      <c r="L24" s="15">
        <f>L9+L12+L17+L22</f>
        <v>159.5362859364486</v>
      </c>
      <c r="M24" s="9"/>
      <c r="N24" s="15">
        <f>N9+N12+N17+N22</f>
        <v>63.17963935482415</v>
      </c>
      <c r="O24" s="15">
        <f>O9+O12+O17+O22</f>
        <v>68.54990869998419</v>
      </c>
      <c r="P24" s="9"/>
      <c r="Q24" s="8">
        <f>E24+H24+K24+N24</f>
        <v>316.54368937040044</v>
      </c>
      <c r="R24" s="8">
        <f>F24+I24+L24+O24</f>
        <v>332.5887258989328</v>
      </c>
      <c r="S24" s="7"/>
    </row>
    <row r="25" spans="1:19" ht="12.75">
      <c r="A25" s="6"/>
      <c r="C25" s="7" t="s">
        <v>184</v>
      </c>
      <c r="D25" s="9"/>
      <c r="E25" s="15"/>
      <c r="F25" s="8">
        <f>F24</f>
        <v>21.760399999999997</v>
      </c>
      <c r="G25" s="9"/>
      <c r="H25" s="15"/>
      <c r="I25" s="8">
        <f>F25+I24</f>
        <v>104.50253126250001</v>
      </c>
      <c r="J25" s="9"/>
      <c r="K25" s="15"/>
      <c r="L25" s="8">
        <f>I25+L24</f>
        <v>264.0388171989486</v>
      </c>
      <c r="M25" s="9"/>
      <c r="N25" s="15"/>
      <c r="O25" s="8">
        <f>L25+O24</f>
        <v>332.5887258989328</v>
      </c>
      <c r="P25" s="9"/>
      <c r="Q25" s="8"/>
      <c r="R25" s="8"/>
      <c r="S25" s="7"/>
    </row>
    <row r="26" spans="1:19" ht="12.75">
      <c r="A26" s="7"/>
      <c r="C26" s="7"/>
      <c r="D26" s="7"/>
      <c r="E26" s="10"/>
      <c r="F26" s="8"/>
      <c r="G26" s="7"/>
      <c r="H26" s="7"/>
      <c r="I26" s="8"/>
      <c r="J26" s="7"/>
      <c r="K26" s="7"/>
      <c r="L26" s="8"/>
      <c r="M26" s="7"/>
      <c r="N26" s="7"/>
      <c r="O26" s="8"/>
      <c r="P26" s="7"/>
      <c r="Q26" s="8"/>
      <c r="R26" s="8"/>
      <c r="S26" s="7"/>
    </row>
    <row r="27" ht="12.75">
      <c r="A27" s="6" t="s">
        <v>181</v>
      </c>
    </row>
    <row r="28" spans="1:19" ht="12.75">
      <c r="A28" t="s">
        <v>0</v>
      </c>
      <c r="B28" t="s">
        <v>22</v>
      </c>
      <c r="C28" s="7" t="s">
        <v>11</v>
      </c>
      <c r="D28" s="10" t="s">
        <v>177</v>
      </c>
      <c r="E28" s="14" t="s">
        <v>9</v>
      </c>
      <c r="F28" s="14" t="s">
        <v>178</v>
      </c>
      <c r="G28" s="10" t="s">
        <v>177</v>
      </c>
      <c r="H28" s="14" t="s">
        <v>9</v>
      </c>
      <c r="I28" s="14" t="s">
        <v>178</v>
      </c>
      <c r="J28" s="10" t="s">
        <v>177</v>
      </c>
      <c r="K28" s="14" t="s">
        <v>9</v>
      </c>
      <c r="L28" s="14" t="s">
        <v>178</v>
      </c>
      <c r="M28" s="10" t="s">
        <v>177</v>
      </c>
      <c r="N28" s="14" t="s">
        <v>9</v>
      </c>
      <c r="O28" s="14" t="s">
        <v>178</v>
      </c>
      <c r="P28" s="10" t="s">
        <v>177</v>
      </c>
      <c r="Q28" s="14" t="s">
        <v>9</v>
      </c>
      <c r="R28" s="14" t="s">
        <v>178</v>
      </c>
      <c r="S28" s="7"/>
    </row>
    <row r="29" spans="1:19" ht="12.75">
      <c r="A29" t="s">
        <v>51</v>
      </c>
      <c r="B29" t="s">
        <v>23</v>
      </c>
      <c r="C29" s="7" t="s">
        <v>50</v>
      </c>
      <c r="D29" s="8">
        <v>1</v>
      </c>
      <c r="E29" s="15">
        <f>D29*Staff!$D$35</f>
        <v>4.8004999999999995</v>
      </c>
      <c r="F29" s="8">
        <f>E29</f>
        <v>4.8004999999999995</v>
      </c>
      <c r="G29" s="8">
        <v>1</v>
      </c>
      <c r="H29" s="15">
        <f>G29*Staff!$E$35</f>
        <v>5.004347826086957</v>
      </c>
      <c r="I29" s="8">
        <f>Totals!$C$11*H29</f>
        <v>5.141967391304349</v>
      </c>
      <c r="J29" s="8">
        <v>6</v>
      </c>
      <c r="K29" s="15">
        <f>J29*Staff!$F$35</f>
        <v>30.136448598130833</v>
      </c>
      <c r="L29" s="8">
        <f>Totals!$D$11*K29</f>
        <v>31.824089719626162</v>
      </c>
      <c r="M29" s="8">
        <v>6</v>
      </c>
      <c r="N29" s="15">
        <f>M29*Staff!$G$35</f>
        <v>31.35953555465258</v>
      </c>
      <c r="O29" s="8">
        <f>Totals!$E$11*N29</f>
        <v>34.02509607679805</v>
      </c>
      <c r="P29" s="8">
        <f>D29+G29+J29+M29</f>
        <v>14</v>
      </c>
      <c r="Q29" s="8">
        <f>E29+H29+K29+N29</f>
        <v>71.30083197887038</v>
      </c>
      <c r="R29" s="8">
        <f>F29+I29+L29+O29</f>
        <v>75.79165318772856</v>
      </c>
      <c r="S29" s="7"/>
    </row>
    <row r="30" spans="3:19" ht="12.75">
      <c r="C30" s="7" t="s">
        <v>29</v>
      </c>
      <c r="D30" s="8">
        <f aca="true" t="shared" si="4" ref="D30:R30">SUM(D29:D29)</f>
        <v>1</v>
      </c>
      <c r="E30" s="8">
        <f t="shared" si="4"/>
        <v>4.8004999999999995</v>
      </c>
      <c r="F30" s="8">
        <f t="shared" si="4"/>
        <v>4.8004999999999995</v>
      </c>
      <c r="G30" s="8">
        <f t="shared" si="4"/>
        <v>1</v>
      </c>
      <c r="H30" s="8">
        <f t="shared" si="4"/>
        <v>5.004347826086957</v>
      </c>
      <c r="I30" s="8">
        <f t="shared" si="4"/>
        <v>5.141967391304349</v>
      </c>
      <c r="J30" s="8">
        <f t="shared" si="4"/>
        <v>6</v>
      </c>
      <c r="K30" s="8">
        <f t="shared" si="4"/>
        <v>30.136448598130833</v>
      </c>
      <c r="L30" s="8">
        <f t="shared" si="4"/>
        <v>31.824089719626162</v>
      </c>
      <c r="M30" s="8">
        <f t="shared" si="4"/>
        <v>6</v>
      </c>
      <c r="N30" s="8">
        <f t="shared" si="4"/>
        <v>31.35953555465258</v>
      </c>
      <c r="O30" s="8">
        <f t="shared" si="4"/>
        <v>34.02509607679805</v>
      </c>
      <c r="P30" s="8">
        <f t="shared" si="4"/>
        <v>14</v>
      </c>
      <c r="Q30" s="8">
        <f t="shared" si="4"/>
        <v>71.30083197887038</v>
      </c>
      <c r="R30" s="8">
        <f t="shared" si="4"/>
        <v>75.79165318772856</v>
      </c>
      <c r="S30" s="7"/>
    </row>
    <row r="31" spans="3:19" ht="12.75">
      <c r="C31" s="7"/>
      <c r="D31" s="9"/>
      <c r="E31" s="15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7"/>
      <c r="R31" s="7"/>
      <c r="S31" s="7"/>
    </row>
    <row r="32" spans="1:19" ht="12.75">
      <c r="A32" s="6" t="s">
        <v>183</v>
      </c>
      <c r="C32" s="7" t="s">
        <v>37</v>
      </c>
      <c r="D32" s="9"/>
      <c r="E32" s="15">
        <f>E24+E30</f>
        <v>26.560899999999997</v>
      </c>
      <c r="F32" s="15">
        <f>F24+F30</f>
        <v>26.560899999999997</v>
      </c>
      <c r="G32" s="9"/>
      <c r="H32" s="15">
        <f>H24+H30</f>
        <v>85.53196949275362</v>
      </c>
      <c r="I32" s="15">
        <f>I24+I30</f>
        <v>87.88409865380436</v>
      </c>
      <c r="J32" s="9"/>
      <c r="K32" s="15">
        <f>K24+K30</f>
        <v>181.2124769470405</v>
      </c>
      <c r="L32" s="15">
        <f>L24+L30</f>
        <v>191.36037565607475</v>
      </c>
      <c r="M32" s="9"/>
      <c r="N32" s="15">
        <f>N24+N30</f>
        <v>94.53917490947673</v>
      </c>
      <c r="O32" s="15">
        <f>O24+O30</f>
        <v>102.57500477678224</v>
      </c>
      <c r="P32" s="9"/>
      <c r="Q32" s="15">
        <f>Q24+Q30</f>
        <v>387.84452134927085</v>
      </c>
      <c r="R32" s="18">
        <f>R24+R30</f>
        <v>408.3803790866614</v>
      </c>
      <c r="S32" s="7"/>
    </row>
    <row r="33" spans="3:19" ht="12.75">
      <c r="C33" s="7"/>
      <c r="D33" s="9"/>
      <c r="E33" s="15"/>
      <c r="F33" s="8"/>
      <c r="G33" s="9"/>
      <c r="H33" s="8"/>
      <c r="I33" s="8"/>
      <c r="J33" s="9"/>
      <c r="K33" s="8"/>
      <c r="L33" s="8"/>
      <c r="M33" s="9"/>
      <c r="N33" s="8"/>
      <c r="O33" s="8"/>
      <c r="P33" s="9"/>
      <c r="Q33" s="7"/>
      <c r="R33" s="7"/>
      <c r="S33" s="7"/>
    </row>
    <row r="34" spans="3:19" ht="12.75">
      <c r="C34" s="7"/>
      <c r="D34" s="7"/>
      <c r="E34" s="1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7" s="3" customFormat="1" ht="12.75">
      <c r="A35" s="6" t="s">
        <v>62</v>
      </c>
      <c r="D35" s="4"/>
      <c r="E35" s="16"/>
      <c r="F35" s="5"/>
      <c r="H35" s="5"/>
      <c r="I35" s="5"/>
      <c r="K35" s="5"/>
      <c r="L35" s="5"/>
      <c r="N35" s="5"/>
      <c r="O35" s="5"/>
      <c r="Q35" s="5"/>
    </row>
    <row r="36" spans="1:18" ht="12.75">
      <c r="A36" t="s">
        <v>102</v>
      </c>
      <c r="B36" t="s">
        <v>55</v>
      </c>
      <c r="C36" t="s">
        <v>16</v>
      </c>
      <c r="D36" s="1">
        <v>2</v>
      </c>
      <c r="E36" s="12"/>
      <c r="F36" s="1"/>
      <c r="G36" s="1">
        <v>3</v>
      </c>
      <c r="H36" s="1"/>
      <c r="I36" s="1"/>
      <c r="J36" s="1">
        <v>4</v>
      </c>
      <c r="K36" s="1"/>
      <c r="L36" s="1"/>
      <c r="M36" s="1">
        <v>2</v>
      </c>
      <c r="N36" s="1"/>
      <c r="O36" s="1"/>
      <c r="P36" s="8">
        <f aca="true" t="shared" si="5" ref="P36:P41">D36+G36+J36+M36</f>
        <v>11</v>
      </c>
      <c r="Q36" s="1"/>
      <c r="R36" t="s">
        <v>56</v>
      </c>
    </row>
    <row r="37" spans="1:18" ht="12.75">
      <c r="A37" t="s">
        <v>133</v>
      </c>
      <c r="B37" t="s">
        <v>55</v>
      </c>
      <c r="C37" t="s">
        <v>16</v>
      </c>
      <c r="D37" s="1">
        <v>1</v>
      </c>
      <c r="E37" s="12"/>
      <c r="F37" s="1" t="s">
        <v>19</v>
      </c>
      <c r="G37" s="1">
        <v>1</v>
      </c>
      <c r="H37" s="1"/>
      <c r="I37" s="1"/>
      <c r="J37" s="1">
        <v>1</v>
      </c>
      <c r="K37" s="1"/>
      <c r="L37" s="1"/>
      <c r="M37" s="1">
        <v>1</v>
      </c>
      <c r="N37" s="1"/>
      <c r="O37" s="1"/>
      <c r="P37" s="8">
        <f t="shared" si="5"/>
        <v>4</v>
      </c>
      <c r="Q37" s="1"/>
      <c r="R37" t="s">
        <v>56</v>
      </c>
    </row>
    <row r="38" spans="1:17" ht="12.75">
      <c r="A38" t="s">
        <v>103</v>
      </c>
      <c r="B38" t="s">
        <v>55</v>
      </c>
      <c r="C38" t="s">
        <v>45</v>
      </c>
      <c r="D38" s="1">
        <v>0</v>
      </c>
      <c r="E38" s="12"/>
      <c r="F38" s="1"/>
      <c r="G38" s="1">
        <v>2</v>
      </c>
      <c r="H38" s="1"/>
      <c r="I38" s="1"/>
      <c r="J38" s="1">
        <v>4</v>
      </c>
      <c r="K38" s="1"/>
      <c r="L38" s="1"/>
      <c r="M38" s="1">
        <v>2</v>
      </c>
      <c r="N38" s="1"/>
      <c r="O38" s="1"/>
      <c r="P38" s="8">
        <f t="shared" si="5"/>
        <v>8</v>
      </c>
      <c r="Q38" s="1"/>
    </row>
    <row r="39" spans="1:17" ht="12.75">
      <c r="A39" t="s">
        <v>134</v>
      </c>
      <c r="B39" t="s">
        <v>55</v>
      </c>
      <c r="C39" t="s">
        <v>45</v>
      </c>
      <c r="D39" s="1">
        <v>2</v>
      </c>
      <c r="E39" s="12"/>
      <c r="F39" s="1"/>
      <c r="G39" s="1">
        <v>2</v>
      </c>
      <c r="H39" s="1"/>
      <c r="I39" s="1"/>
      <c r="J39" s="1">
        <v>2</v>
      </c>
      <c r="K39" s="1"/>
      <c r="L39" s="1"/>
      <c r="M39" s="1">
        <v>1</v>
      </c>
      <c r="N39" s="1"/>
      <c r="O39" s="1"/>
      <c r="P39" s="8">
        <f t="shared" si="5"/>
        <v>7</v>
      </c>
      <c r="Q39" s="1"/>
    </row>
    <row r="40" spans="1:18" ht="12.75">
      <c r="A40" t="s">
        <v>120</v>
      </c>
      <c r="B40" t="s">
        <v>55</v>
      </c>
      <c r="C40" t="s">
        <v>50</v>
      </c>
      <c r="D40" s="1">
        <v>1</v>
      </c>
      <c r="E40" s="12"/>
      <c r="F40" s="1"/>
      <c r="G40" s="1">
        <v>2</v>
      </c>
      <c r="H40" s="1"/>
      <c r="I40" s="1"/>
      <c r="J40" s="1">
        <v>2</v>
      </c>
      <c r="K40" s="1"/>
      <c r="L40" s="1"/>
      <c r="M40" s="1">
        <v>1</v>
      </c>
      <c r="N40" s="1"/>
      <c r="O40" s="1"/>
      <c r="P40" s="8">
        <f t="shared" si="5"/>
        <v>6</v>
      </c>
      <c r="Q40" s="1"/>
      <c r="R40" t="s">
        <v>56</v>
      </c>
    </row>
    <row r="41" spans="1:18" ht="12.75">
      <c r="A41" t="s">
        <v>107</v>
      </c>
      <c r="B41" t="s">
        <v>55</v>
      </c>
      <c r="C41" t="s">
        <v>48</v>
      </c>
      <c r="D41" s="1">
        <v>0</v>
      </c>
      <c r="E41" s="12"/>
      <c r="F41" s="1"/>
      <c r="G41" s="1">
        <v>1</v>
      </c>
      <c r="H41" s="1"/>
      <c r="I41" s="1"/>
      <c r="J41" s="1">
        <v>1</v>
      </c>
      <c r="K41" s="1"/>
      <c r="L41" s="1"/>
      <c r="M41" s="1">
        <v>1</v>
      </c>
      <c r="N41" s="1"/>
      <c r="O41" s="1"/>
      <c r="P41" s="8">
        <f t="shared" si="5"/>
        <v>3</v>
      </c>
      <c r="R41" t="s">
        <v>56</v>
      </c>
    </row>
    <row r="42" spans="4:16" ht="12.75">
      <c r="D42" s="1">
        <f>SUM(D36:D41)</f>
        <v>6</v>
      </c>
      <c r="G42" s="1">
        <f>SUM(G36:G41)</f>
        <v>11</v>
      </c>
      <c r="J42" s="1">
        <f>SUM(J36:J41)</f>
        <v>14</v>
      </c>
      <c r="M42" s="1">
        <f>SUM(M36:M41)</f>
        <v>8</v>
      </c>
      <c r="P42" s="1">
        <f>SUM(P36:P41)</f>
        <v>39</v>
      </c>
    </row>
  </sheetData>
  <printOptions/>
  <pageMargins left="0.75" right="0.75" top="1" bottom="1" header="0.5" footer="0.5"/>
  <pageSetup fitToHeight="1" fitToWidth="1" horizontalDpi="300" verticalDpi="3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6" max="20" width="7.7109375" style="0" customWidth="1"/>
  </cols>
  <sheetData>
    <row r="1" spans="6:20" ht="12.75">
      <c r="F1" s="2"/>
      <c r="G1" s="2"/>
      <c r="H1" s="2" t="s">
        <v>1</v>
      </c>
      <c r="I1" s="2"/>
      <c r="K1" s="2" t="s">
        <v>2</v>
      </c>
      <c r="L1" s="2"/>
      <c r="N1" s="2" t="s">
        <v>3</v>
      </c>
      <c r="O1" s="2"/>
      <c r="Q1" s="2" t="s">
        <v>176</v>
      </c>
      <c r="R1" s="2" t="s">
        <v>4</v>
      </c>
      <c r="S1" s="2" t="s">
        <v>4</v>
      </c>
      <c r="T1" s="13" t="s">
        <v>95</v>
      </c>
    </row>
    <row r="2" spans="1:7" ht="12.75">
      <c r="A2" t="s">
        <v>16</v>
      </c>
      <c r="G2" s="2"/>
    </row>
    <row r="3" spans="1:20" ht="12.75">
      <c r="A3" t="s">
        <v>88</v>
      </c>
      <c r="B3" t="s">
        <v>186</v>
      </c>
      <c r="C3" t="s">
        <v>89</v>
      </c>
      <c r="D3" t="s">
        <v>90</v>
      </c>
      <c r="E3" t="s">
        <v>91</v>
      </c>
      <c r="F3" s="10" t="s">
        <v>177</v>
      </c>
      <c r="G3" s="14" t="s">
        <v>9</v>
      </c>
      <c r="H3" s="14" t="s">
        <v>178</v>
      </c>
      <c r="I3" s="10" t="s">
        <v>177</v>
      </c>
      <c r="J3" s="14" t="s">
        <v>9</v>
      </c>
      <c r="K3" s="14" t="s">
        <v>178</v>
      </c>
      <c r="L3" s="10" t="s">
        <v>177</v>
      </c>
      <c r="M3" s="14" t="s">
        <v>9</v>
      </c>
      <c r="N3" s="14" t="s">
        <v>178</v>
      </c>
      <c r="O3" s="10" t="s">
        <v>177</v>
      </c>
      <c r="P3" s="14" t="s">
        <v>9</v>
      </c>
      <c r="Q3" s="14" t="s">
        <v>178</v>
      </c>
      <c r="R3" s="10" t="s">
        <v>177</v>
      </c>
      <c r="S3" s="14" t="s">
        <v>9</v>
      </c>
      <c r="T3" s="14" t="s">
        <v>178</v>
      </c>
    </row>
    <row r="4" spans="1:20" ht="12.75">
      <c r="A4" s="21" t="str">
        <f>Staff!$A$5</f>
        <v>New RA-1</v>
      </c>
      <c r="B4" t="s">
        <v>187</v>
      </c>
      <c r="C4" s="11" t="s">
        <v>197</v>
      </c>
      <c r="D4" s="11" t="s">
        <v>198</v>
      </c>
      <c r="E4" s="12" t="s">
        <v>94</v>
      </c>
      <c r="F4" s="8">
        <f>WP1!D4+WP3!D4+WP5!D4</f>
        <v>6</v>
      </c>
      <c r="G4" s="15">
        <f>F4*Staff!$D$5</f>
        <v>19.1406</v>
      </c>
      <c r="H4" s="8">
        <f>G4</f>
        <v>19.1406</v>
      </c>
      <c r="I4" s="8">
        <f>WP1!G4+WP3!G4+WP5!G4</f>
        <v>12</v>
      </c>
      <c r="J4" s="15">
        <f>I4*Staff!$E$5</f>
        <v>39.84048</v>
      </c>
      <c r="K4" s="8">
        <f>Totals!$C$11*J4</f>
        <v>40.9360932</v>
      </c>
      <c r="L4" s="8">
        <f>WP1!J4+WP3!J4+WP5!J4</f>
        <v>12</v>
      </c>
      <c r="M4" s="15">
        <f>L4*Staff!$F$5</f>
        <v>41.88594</v>
      </c>
      <c r="N4" s="8">
        <f>Totals!$D$11*M4</f>
        <v>44.23155264</v>
      </c>
      <c r="O4" s="8">
        <f>WP1!M4+WP3!M4+WP5!M4</f>
        <v>6</v>
      </c>
      <c r="P4" s="15">
        <f>O4*Staff!$G$5</f>
        <v>21.72261</v>
      </c>
      <c r="Q4" s="8">
        <f>Totals!$E$11*P4</f>
        <v>23.56903185</v>
      </c>
      <c r="R4" s="8">
        <f aca="true" t="shared" si="0" ref="R4:T6">F4+I4+L4+O4</f>
        <v>36</v>
      </c>
      <c r="S4" s="8">
        <f t="shared" si="0"/>
        <v>122.58963</v>
      </c>
      <c r="T4" s="8">
        <f t="shared" si="0"/>
        <v>127.87727769</v>
      </c>
    </row>
    <row r="5" spans="1:20" ht="12.75">
      <c r="A5" s="21" t="str">
        <f>Staff!$A$18</f>
        <v>R.J.Staley</v>
      </c>
      <c r="C5" s="11" t="s">
        <v>201</v>
      </c>
      <c r="D5" s="11" t="s">
        <v>204</v>
      </c>
      <c r="E5" s="12" t="s">
        <v>94</v>
      </c>
      <c r="F5" s="8">
        <f>WP3!D45</f>
        <v>0</v>
      </c>
      <c r="G5" s="15">
        <f>F5*Staff!$D$18</f>
        <v>0</v>
      </c>
      <c r="H5" s="8">
        <f>G5</f>
        <v>0</v>
      </c>
      <c r="I5" s="8">
        <f>WP3!G45</f>
        <v>0</v>
      </c>
      <c r="J5" s="15">
        <f>I5*Staff!$E$18</f>
        <v>0</v>
      </c>
      <c r="K5" s="8">
        <f>Totals!$C$11*J5</f>
        <v>0</v>
      </c>
      <c r="L5" s="8">
        <f>WP3!J45</f>
        <v>2</v>
      </c>
      <c r="M5" s="15">
        <f>L5*Staff!$F$18</f>
        <v>11.685596666666667</v>
      </c>
      <c r="N5" s="8">
        <f>Totals!$D$11*M5</f>
        <v>12.339990080000002</v>
      </c>
      <c r="O5" s="8">
        <f>WP3!M45</f>
        <v>2</v>
      </c>
      <c r="P5" s="15">
        <f>O5*Staff!$G$18</f>
        <v>11.685596666666667</v>
      </c>
      <c r="Q5" s="8">
        <f>Totals!$E$11*P5</f>
        <v>12.678872383333333</v>
      </c>
      <c r="R5" s="8">
        <f>F5+I5+L5+O5</f>
        <v>4</v>
      </c>
      <c r="S5" s="8">
        <f t="shared" si="0"/>
        <v>23.371193333333334</v>
      </c>
      <c r="T5" s="8">
        <f t="shared" si="0"/>
        <v>25.018862463333335</v>
      </c>
    </row>
    <row r="6" spans="1:20" ht="12.75">
      <c r="A6" s="21" t="str">
        <f>Staff!$A$19</f>
        <v>Electronics technicians</v>
      </c>
      <c r="C6" s="11" t="s">
        <v>201</v>
      </c>
      <c r="D6" s="11" t="s">
        <v>204</v>
      </c>
      <c r="E6" s="12" t="s">
        <v>94</v>
      </c>
      <c r="F6" s="8">
        <f>WP3!D46</f>
        <v>0</v>
      </c>
      <c r="G6" s="15">
        <f>F6*Staff!$D$19</f>
        <v>0</v>
      </c>
      <c r="H6" s="8">
        <f>G6</f>
        <v>0</v>
      </c>
      <c r="I6" s="8">
        <f>WP3!G46</f>
        <v>0</v>
      </c>
      <c r="J6" s="15">
        <f>I6*Staff!$E$19</f>
        <v>0</v>
      </c>
      <c r="K6" s="8">
        <f>Totals!$C$11*J6</f>
        <v>0</v>
      </c>
      <c r="L6" s="8">
        <f>WP3!J46</f>
        <v>1</v>
      </c>
      <c r="M6" s="15">
        <f>L6*Staff!$F$19</f>
        <v>2.8850816666666668</v>
      </c>
      <c r="N6" s="8">
        <f>Totals!$D$11*M6</f>
        <v>3.0466462400000003</v>
      </c>
      <c r="O6" s="8">
        <f>WP3!M46</f>
        <v>2</v>
      </c>
      <c r="P6" s="15">
        <f>O6*Staff!$G$19</f>
        <v>5.935143333333333</v>
      </c>
      <c r="Q6" s="8">
        <f>Totals!$E$11*P6</f>
        <v>6.439630516666667</v>
      </c>
      <c r="R6" s="8">
        <f>F6+I6+L6+O6</f>
        <v>3</v>
      </c>
      <c r="S6" s="8">
        <f t="shared" si="0"/>
        <v>8.820225</v>
      </c>
      <c r="T6" s="8">
        <f t="shared" si="0"/>
        <v>9.486276756666667</v>
      </c>
    </row>
    <row r="7" spans="1:20" ht="12.75">
      <c r="A7" s="21" t="s">
        <v>188</v>
      </c>
      <c r="C7" s="11"/>
      <c r="D7" s="11"/>
      <c r="E7" s="12"/>
      <c r="F7" s="8">
        <f aca="true" t="shared" si="1" ref="F7:T7">SUM(F5:F6)</f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3</v>
      </c>
      <c r="M7" s="8">
        <f t="shared" si="1"/>
        <v>14.570678333333333</v>
      </c>
      <c r="N7" s="8">
        <f t="shared" si="1"/>
        <v>15.386636320000001</v>
      </c>
      <c r="O7" s="8">
        <f t="shared" si="1"/>
        <v>4</v>
      </c>
      <c r="P7" s="8">
        <f t="shared" si="1"/>
        <v>17.62074</v>
      </c>
      <c r="Q7" s="8">
        <f t="shared" si="1"/>
        <v>19.1185029</v>
      </c>
      <c r="R7" s="8">
        <f t="shared" si="1"/>
        <v>7</v>
      </c>
      <c r="S7" s="8">
        <f t="shared" si="1"/>
        <v>32.19141833333333</v>
      </c>
      <c r="T7" s="8">
        <f t="shared" si="1"/>
        <v>34.505139220000004</v>
      </c>
    </row>
    <row r="8" spans="1:20" ht="12.75">
      <c r="A8" t="s">
        <v>4</v>
      </c>
      <c r="C8" s="11"/>
      <c r="D8" s="11"/>
      <c r="E8" s="12"/>
      <c r="F8" s="1">
        <f aca="true" t="shared" si="2" ref="F8:T8">F4+F7</f>
        <v>6</v>
      </c>
      <c r="G8" s="1">
        <f t="shared" si="2"/>
        <v>19.1406</v>
      </c>
      <c r="H8" s="1">
        <f t="shared" si="2"/>
        <v>19.1406</v>
      </c>
      <c r="I8" s="1">
        <f t="shared" si="2"/>
        <v>12</v>
      </c>
      <c r="J8" s="1">
        <f t="shared" si="2"/>
        <v>39.84048</v>
      </c>
      <c r="K8" s="1">
        <f t="shared" si="2"/>
        <v>40.9360932</v>
      </c>
      <c r="L8" s="1">
        <f t="shared" si="2"/>
        <v>15</v>
      </c>
      <c r="M8" s="1">
        <f t="shared" si="2"/>
        <v>56.45661833333333</v>
      </c>
      <c r="N8" s="1">
        <f t="shared" si="2"/>
        <v>59.61818896</v>
      </c>
      <c r="O8" s="1">
        <f t="shared" si="2"/>
        <v>10</v>
      </c>
      <c r="P8" s="1">
        <f t="shared" si="2"/>
        <v>39.34335</v>
      </c>
      <c r="Q8" s="1">
        <f t="shared" si="2"/>
        <v>42.68753475</v>
      </c>
      <c r="R8" s="1">
        <f t="shared" si="2"/>
        <v>43</v>
      </c>
      <c r="S8" s="1">
        <f t="shared" si="2"/>
        <v>154.78104833333333</v>
      </c>
      <c r="T8" s="1">
        <f t="shared" si="2"/>
        <v>162.38241691000002</v>
      </c>
    </row>
    <row r="9" spans="3:6" ht="12.75">
      <c r="C9" s="1"/>
      <c r="D9" s="1"/>
      <c r="E9" s="1"/>
      <c r="F9" s="1"/>
    </row>
    <row r="10" spans="1:12" ht="12.75">
      <c r="A10" t="s">
        <v>45</v>
      </c>
      <c r="F10" s="8"/>
      <c r="H10" s="2"/>
      <c r="J10" s="2"/>
      <c r="L10" s="2"/>
    </row>
    <row r="11" spans="1:20" ht="12.75">
      <c r="A11" t="s">
        <v>88</v>
      </c>
      <c r="B11" t="s">
        <v>186</v>
      </c>
      <c r="C11" t="s">
        <v>89</v>
      </c>
      <c r="D11" t="s">
        <v>90</v>
      </c>
      <c r="E11" t="s">
        <v>91</v>
      </c>
      <c r="F11" s="10" t="s">
        <v>177</v>
      </c>
      <c r="G11" s="14" t="s">
        <v>9</v>
      </c>
      <c r="H11" s="14" t="s">
        <v>178</v>
      </c>
      <c r="I11" s="10" t="s">
        <v>177</v>
      </c>
      <c r="J11" s="14" t="s">
        <v>9</v>
      </c>
      <c r="K11" s="14" t="s">
        <v>178</v>
      </c>
      <c r="L11" s="10" t="s">
        <v>177</v>
      </c>
      <c r="M11" s="14" t="s">
        <v>9</v>
      </c>
      <c r="N11" s="14" t="s">
        <v>178</v>
      </c>
      <c r="O11" s="10" t="s">
        <v>177</v>
      </c>
      <c r="P11" s="14" t="s">
        <v>9</v>
      </c>
      <c r="Q11" s="14" t="s">
        <v>178</v>
      </c>
      <c r="R11" s="10" t="s">
        <v>177</v>
      </c>
      <c r="S11" s="14" t="s">
        <v>9</v>
      </c>
      <c r="T11" s="14" t="s">
        <v>178</v>
      </c>
    </row>
    <row r="12" spans="1:20" ht="12.75">
      <c r="A12" s="21" t="str">
        <f>Staff!$A$6</f>
        <v>G.Mavromanolakis</v>
      </c>
      <c r="B12" t="s">
        <v>187</v>
      </c>
      <c r="C12" s="11" t="s">
        <v>92</v>
      </c>
      <c r="D12" s="11" t="s">
        <v>204</v>
      </c>
      <c r="E12" s="12" t="s">
        <v>94</v>
      </c>
      <c r="F12" s="8">
        <f>WP1!D5+WP5!D5</f>
        <v>12</v>
      </c>
      <c r="G12" s="15">
        <f>F12*Staff!$D$6</f>
        <v>42.43600000000001</v>
      </c>
      <c r="H12" s="8">
        <f>G12</f>
        <v>42.43600000000001</v>
      </c>
      <c r="I12" s="8">
        <f>WP1!G5+WP5!G5</f>
        <v>12</v>
      </c>
      <c r="J12" s="15">
        <f>I12*Staff!$E$6</f>
        <v>44.599</v>
      </c>
      <c r="K12" s="8">
        <f>Totals!$C$11*J12</f>
        <v>45.825472500000004</v>
      </c>
      <c r="L12" s="8">
        <f>WP1!J5+WP5!J5</f>
        <v>12</v>
      </c>
      <c r="M12" s="15">
        <f>L12*Staff!$F$6</f>
        <v>46.35</v>
      </c>
      <c r="N12" s="8">
        <f>Totals!$D$11*M12</f>
        <v>48.945600000000006</v>
      </c>
      <c r="O12" s="8">
        <v>0</v>
      </c>
      <c r="P12" s="15">
        <f>O12*Staff!$G$6</f>
        <v>0</v>
      </c>
      <c r="Q12" s="8">
        <f>Totals!$E$11*P12</f>
        <v>0</v>
      </c>
      <c r="R12" s="8">
        <f aca="true" t="shared" si="3" ref="R12:T15">F12+I12+L12+O12</f>
        <v>36</v>
      </c>
      <c r="S12" s="8">
        <f t="shared" si="3"/>
        <v>133.385</v>
      </c>
      <c r="T12" s="8">
        <f t="shared" si="3"/>
        <v>137.2070725</v>
      </c>
    </row>
    <row r="13" spans="1:20" ht="12.75">
      <c r="A13" s="21" t="str">
        <f>Staff!$A$21</f>
        <v>M.J.Goodrick</v>
      </c>
      <c r="C13" s="11" t="s">
        <v>92</v>
      </c>
      <c r="D13" s="11" t="s">
        <v>204</v>
      </c>
      <c r="E13" s="12" t="s">
        <v>94</v>
      </c>
      <c r="F13" s="8">
        <f>WP2!D52</f>
        <v>2</v>
      </c>
      <c r="G13" s="15">
        <f>F13*Staff!$D$21</f>
        <v>11.536</v>
      </c>
      <c r="H13" s="8">
        <f>G13</f>
        <v>11.536</v>
      </c>
      <c r="I13" s="8">
        <f>WP2!G52</f>
        <v>2</v>
      </c>
      <c r="J13" s="15">
        <f>I13*Staff!$E$21</f>
        <v>11.536</v>
      </c>
      <c r="K13" s="8">
        <f>Totals!$C$11*J13</f>
        <v>11.853240000000001</v>
      </c>
      <c r="L13" s="8">
        <f>WP2!J52</f>
        <v>3</v>
      </c>
      <c r="M13" s="15">
        <f>L13*Staff!$F$21</f>
        <v>17.716</v>
      </c>
      <c r="N13" s="8">
        <f>Totals!$D$11*M13</f>
        <v>18.708096</v>
      </c>
      <c r="O13" s="8">
        <f>WP2!M52</f>
        <v>1</v>
      </c>
      <c r="P13" s="15">
        <f>O13*Staff!$G$21</f>
        <v>5.905333333333334</v>
      </c>
      <c r="Q13" s="8">
        <f>Totals!$E$11*P13</f>
        <v>6.407286666666667</v>
      </c>
      <c r="R13" s="8">
        <f t="shared" si="3"/>
        <v>8</v>
      </c>
      <c r="S13" s="8">
        <f t="shared" si="3"/>
        <v>46.69333333333333</v>
      </c>
      <c r="T13" s="8">
        <f t="shared" si="3"/>
        <v>48.50462266666666</v>
      </c>
    </row>
    <row r="14" spans="1:20" ht="12.75">
      <c r="A14" s="21" t="str">
        <f>Staff!$A$22</f>
        <v>R.Shaw</v>
      </c>
      <c r="C14" s="11" t="s">
        <v>92</v>
      </c>
      <c r="D14" s="11" t="s">
        <v>204</v>
      </c>
      <c r="E14" s="12" t="s">
        <v>94</v>
      </c>
      <c r="F14" s="8">
        <f>WP2!D53</f>
        <v>1</v>
      </c>
      <c r="G14" s="15">
        <f>F14*Staff!$D$22</f>
        <v>3.502</v>
      </c>
      <c r="H14" s="8">
        <f>G14</f>
        <v>3.502</v>
      </c>
      <c r="I14" s="8">
        <f>WP2!G53</f>
        <v>2</v>
      </c>
      <c r="J14" s="15">
        <f>I14*Staff!$E$22</f>
        <v>7.21</v>
      </c>
      <c r="K14" s="8">
        <f>Totals!$C$11*J14</f>
        <v>7.408275000000001</v>
      </c>
      <c r="L14" s="8">
        <f>WP2!J53</f>
        <v>2</v>
      </c>
      <c r="M14" s="15">
        <f>L14*Staff!$F$22</f>
        <v>7.313</v>
      </c>
      <c r="N14" s="8">
        <f>Totals!$D$11*M14</f>
        <v>7.7225280000000005</v>
      </c>
      <c r="O14" s="8">
        <f>WP2!M53</f>
        <v>1</v>
      </c>
      <c r="P14" s="15">
        <f>O14*Staff!$G$21</f>
        <v>5.905333333333334</v>
      </c>
      <c r="Q14" s="8">
        <f>Totals!$E$11*P14</f>
        <v>6.407286666666667</v>
      </c>
      <c r="R14" s="8">
        <f t="shared" si="3"/>
        <v>6</v>
      </c>
      <c r="S14" s="8">
        <f t="shared" si="3"/>
        <v>23.930333333333333</v>
      </c>
      <c r="T14" s="8">
        <f t="shared" si="3"/>
        <v>25.04008966666667</v>
      </c>
    </row>
    <row r="15" spans="1:20" ht="12.75">
      <c r="A15" s="21" t="str">
        <f>Staff!$A$20</f>
        <v>C.Barham</v>
      </c>
      <c r="C15" s="11" t="s">
        <v>92</v>
      </c>
      <c r="D15" s="11" t="s">
        <v>204</v>
      </c>
      <c r="E15" s="12" t="s">
        <v>94</v>
      </c>
      <c r="F15" s="8">
        <f>WP2!D54</f>
        <v>1</v>
      </c>
      <c r="G15" s="15">
        <f>F15*Staff!$D$20</f>
        <v>3.193</v>
      </c>
      <c r="H15" s="8">
        <f>G15</f>
        <v>3.193</v>
      </c>
      <c r="I15" s="8">
        <f>WP2!G54</f>
        <v>3</v>
      </c>
      <c r="J15" s="15">
        <f>I15*Staff!$E$20</f>
        <v>9.682</v>
      </c>
      <c r="K15" s="8">
        <f>Totals!$C$11*J15</f>
        <v>9.948255000000001</v>
      </c>
      <c r="L15" s="8">
        <f>WP2!J54</f>
        <v>4</v>
      </c>
      <c r="M15" s="15">
        <f>L15*Staff!$F$20</f>
        <v>13.081</v>
      </c>
      <c r="N15" s="8">
        <f>Totals!$D$11*M15</f>
        <v>13.813536000000001</v>
      </c>
      <c r="O15" s="8">
        <f>WP2!M54</f>
        <v>2</v>
      </c>
      <c r="P15" s="15">
        <f>O15*Staff!$G$21</f>
        <v>11.810666666666668</v>
      </c>
      <c r="Q15" s="8">
        <f>Totals!$E$11*P15</f>
        <v>12.814573333333334</v>
      </c>
      <c r="R15" s="8">
        <f t="shared" si="3"/>
        <v>10</v>
      </c>
      <c r="S15" s="8">
        <f t="shared" si="3"/>
        <v>37.766666666666666</v>
      </c>
      <c r="T15" s="8">
        <f t="shared" si="3"/>
        <v>39.769364333333336</v>
      </c>
    </row>
    <row r="16" spans="1:20" ht="12.75">
      <c r="A16" s="21" t="s">
        <v>188</v>
      </c>
      <c r="C16" s="11"/>
      <c r="D16" s="11"/>
      <c r="E16" s="12"/>
      <c r="F16" s="1">
        <f aca="true" t="shared" si="4" ref="F16:T16">SUM(F13:F15)</f>
        <v>4</v>
      </c>
      <c r="G16" s="1">
        <f t="shared" si="4"/>
        <v>18.231</v>
      </c>
      <c r="H16" s="1">
        <f t="shared" si="4"/>
        <v>18.231</v>
      </c>
      <c r="I16" s="1">
        <f t="shared" si="4"/>
        <v>7</v>
      </c>
      <c r="J16" s="1">
        <f t="shared" si="4"/>
        <v>28.427999999999997</v>
      </c>
      <c r="K16" s="1">
        <f t="shared" si="4"/>
        <v>29.209770000000006</v>
      </c>
      <c r="L16" s="1">
        <f t="shared" si="4"/>
        <v>9</v>
      </c>
      <c r="M16" s="1">
        <f t="shared" si="4"/>
        <v>38.11</v>
      </c>
      <c r="N16" s="1">
        <f t="shared" si="4"/>
        <v>40.24416</v>
      </c>
      <c r="O16" s="1">
        <f t="shared" si="4"/>
        <v>4</v>
      </c>
      <c r="P16" s="1">
        <f t="shared" si="4"/>
        <v>23.621333333333336</v>
      </c>
      <c r="Q16" s="1">
        <f t="shared" si="4"/>
        <v>25.629146666666667</v>
      </c>
      <c r="R16" s="1">
        <f t="shared" si="4"/>
        <v>24</v>
      </c>
      <c r="S16" s="1">
        <f t="shared" si="4"/>
        <v>108.39033333333333</v>
      </c>
      <c r="T16" s="1">
        <f t="shared" si="4"/>
        <v>113.31407666666667</v>
      </c>
    </row>
    <row r="17" spans="1:20" ht="12.75">
      <c r="A17" t="s">
        <v>4</v>
      </c>
      <c r="C17" s="11"/>
      <c r="D17" s="11"/>
      <c r="E17" s="12"/>
      <c r="F17" s="1">
        <f aca="true" t="shared" si="5" ref="F17:T17">F12+F16</f>
        <v>16</v>
      </c>
      <c r="G17" s="1">
        <f t="shared" si="5"/>
        <v>60.66700000000001</v>
      </c>
      <c r="H17" s="1">
        <f t="shared" si="5"/>
        <v>60.66700000000001</v>
      </c>
      <c r="I17" s="1">
        <f t="shared" si="5"/>
        <v>19</v>
      </c>
      <c r="J17" s="1">
        <f t="shared" si="5"/>
        <v>73.02699999999999</v>
      </c>
      <c r="K17" s="1">
        <f t="shared" si="5"/>
        <v>75.03524250000001</v>
      </c>
      <c r="L17" s="1">
        <f t="shared" si="5"/>
        <v>21</v>
      </c>
      <c r="M17" s="1">
        <f t="shared" si="5"/>
        <v>84.46000000000001</v>
      </c>
      <c r="N17" s="1">
        <f t="shared" si="5"/>
        <v>89.18976</v>
      </c>
      <c r="O17" s="1">
        <f t="shared" si="5"/>
        <v>4</v>
      </c>
      <c r="P17" s="1">
        <f t="shared" si="5"/>
        <v>23.621333333333336</v>
      </c>
      <c r="Q17" s="1">
        <f t="shared" si="5"/>
        <v>25.629146666666667</v>
      </c>
      <c r="R17" s="1">
        <f t="shared" si="5"/>
        <v>60</v>
      </c>
      <c r="S17" s="1">
        <f t="shared" si="5"/>
        <v>241.77533333333332</v>
      </c>
      <c r="T17" s="1">
        <f t="shared" si="5"/>
        <v>250.52114916666667</v>
      </c>
    </row>
    <row r="19" spans="1:12" ht="12.75">
      <c r="A19" t="s">
        <v>14</v>
      </c>
      <c r="F19" s="2"/>
      <c r="H19" s="2"/>
      <c r="J19" s="2"/>
      <c r="L19" s="2"/>
    </row>
    <row r="20" spans="1:20" ht="12.75">
      <c r="A20" t="s">
        <v>88</v>
      </c>
      <c r="B20" t="s">
        <v>186</v>
      </c>
      <c r="C20" t="s">
        <v>89</v>
      </c>
      <c r="D20" t="s">
        <v>90</v>
      </c>
      <c r="E20" t="s">
        <v>91</v>
      </c>
      <c r="F20" s="10" t="s">
        <v>177</v>
      </c>
      <c r="G20" s="14" t="s">
        <v>9</v>
      </c>
      <c r="H20" s="14" t="s">
        <v>178</v>
      </c>
      <c r="I20" s="10" t="s">
        <v>177</v>
      </c>
      <c r="J20" s="14" t="s">
        <v>9</v>
      </c>
      <c r="K20" s="14" t="s">
        <v>178</v>
      </c>
      <c r="L20" s="10" t="s">
        <v>177</v>
      </c>
      <c r="M20" s="14" t="s">
        <v>9</v>
      </c>
      <c r="N20" s="14" t="s">
        <v>178</v>
      </c>
      <c r="O20" s="10" t="s">
        <v>177</v>
      </c>
      <c r="P20" s="14" t="s">
        <v>9</v>
      </c>
      <c r="Q20" s="14" t="s">
        <v>178</v>
      </c>
      <c r="R20" s="10" t="s">
        <v>177</v>
      </c>
      <c r="S20" s="14" t="s">
        <v>9</v>
      </c>
      <c r="T20" s="14" t="s">
        <v>178</v>
      </c>
    </row>
    <row r="21" spans="1:20" ht="12.75">
      <c r="A21" s="21" t="str">
        <f>Staff!$A$7</f>
        <v>New RA-2</v>
      </c>
      <c r="B21" t="s">
        <v>187</v>
      </c>
      <c r="C21" s="11" t="s">
        <v>197</v>
      </c>
      <c r="D21" s="11" t="s">
        <v>198</v>
      </c>
      <c r="E21" s="12" t="s">
        <v>94</v>
      </c>
      <c r="F21" s="8">
        <f>WP1!D6+WP2!D4+WP3!D5+WP5!D6</f>
        <v>6</v>
      </c>
      <c r="G21" s="15">
        <f>F21*Staff!$D$7</f>
        <v>22.74534</v>
      </c>
      <c r="H21" s="8">
        <f>G21</f>
        <v>22.74534</v>
      </c>
      <c r="I21" s="8">
        <f>WP1!G6+WP2!G4+WP3!G5+WP5!G6</f>
        <v>12</v>
      </c>
      <c r="J21" s="15">
        <f>I21*Staff!$E$7</f>
        <v>46.72438</v>
      </c>
      <c r="K21" s="8">
        <f>Totals!$C$11*J21</f>
        <v>48.00930045</v>
      </c>
      <c r="L21" s="8">
        <f>WP1!J6+WP2!J4+WP3!J5+WP5!J6</f>
        <v>12</v>
      </c>
      <c r="M21" s="15">
        <f>L21*Staff!$F$7</f>
        <v>47.99457999999999</v>
      </c>
      <c r="N21" s="8">
        <f>Totals!$D$11*M21</f>
        <v>50.68227647999999</v>
      </c>
      <c r="O21" s="8">
        <f>WP1!M6+WP2!M4+WP3!M5+WP5!M6</f>
        <v>6</v>
      </c>
      <c r="P21" s="15">
        <f>O21*Staff!$G$7</f>
        <v>24.614140000000003</v>
      </c>
      <c r="Q21" s="8">
        <f>Totals!$E$11*P21</f>
        <v>26.7063419</v>
      </c>
      <c r="R21" s="8">
        <f aca="true" t="shared" si="6" ref="R21:T24">F21+I21+L21+O21</f>
        <v>36</v>
      </c>
      <c r="S21" s="8">
        <f t="shared" si="6"/>
        <v>142.07843999999997</v>
      </c>
      <c r="T21" s="8">
        <f t="shared" si="6"/>
        <v>148.14325883</v>
      </c>
    </row>
    <row r="22" spans="1:20" ht="12.75">
      <c r="A22" s="21" t="str">
        <f>Staff!$A$25</f>
        <v>O.Zorba</v>
      </c>
      <c r="B22" t="s">
        <v>19</v>
      </c>
      <c r="C22" s="11" t="s">
        <v>92</v>
      </c>
      <c r="D22" s="11" t="s">
        <v>204</v>
      </c>
      <c r="E22" s="12" t="s">
        <v>94</v>
      </c>
      <c r="F22" s="8">
        <f>WP1!D30+WP2!D56+WP3!D47</f>
        <v>1</v>
      </c>
      <c r="G22" s="15">
        <f>F22*Staff!$D$25</f>
        <v>4.969961666666666</v>
      </c>
      <c r="H22" s="8">
        <f>G22</f>
        <v>4.969961666666666</v>
      </c>
      <c r="I22" s="8">
        <f>WP1!G30+WP2!G56+WP3!G47</f>
        <v>1</v>
      </c>
      <c r="J22" s="15">
        <f>I22*Staff!$E$25</f>
        <v>5.108296666666666</v>
      </c>
      <c r="K22" s="8">
        <f>Totals!$C$11*J22</f>
        <v>5.248774825</v>
      </c>
      <c r="L22" s="8">
        <f>WP1!J30+WP2!J56+WP3!J47</f>
        <v>4</v>
      </c>
      <c r="M22" s="15">
        <f>L22*Staff!$F$25</f>
        <v>21.00307333333333</v>
      </c>
      <c r="N22" s="8">
        <f>Totals!$D$11*M22</f>
        <v>22.179245439999995</v>
      </c>
      <c r="O22" s="8">
        <f>WP1!M30+WP2!M56+WP3!M47</f>
        <v>4</v>
      </c>
      <c r="P22" s="15">
        <f>O22*Staff!$G$25</f>
        <v>21.556413333333325</v>
      </c>
      <c r="Q22" s="8">
        <f>Totals!$E$11*P22</f>
        <v>23.388708466666657</v>
      </c>
      <c r="R22" s="8">
        <f t="shared" si="6"/>
        <v>10</v>
      </c>
      <c r="S22" s="8">
        <f t="shared" si="6"/>
        <v>52.63774499999999</v>
      </c>
      <c r="T22" s="8">
        <f t="shared" si="6"/>
        <v>55.78669039833332</v>
      </c>
    </row>
    <row r="23" spans="1:20" ht="12.75">
      <c r="A23" s="21" t="str">
        <f>Staff!$A$24</f>
        <v>D.R.Price</v>
      </c>
      <c r="C23" s="11" t="s">
        <v>93</v>
      </c>
      <c r="D23" s="11" t="s">
        <v>204</v>
      </c>
      <c r="E23" s="12" t="s">
        <v>94</v>
      </c>
      <c r="F23" s="8">
        <f>WP2!D55+WP3!D48</f>
        <v>0</v>
      </c>
      <c r="G23" s="15">
        <f>F23*Staff!$D$24</f>
        <v>0</v>
      </c>
      <c r="H23" s="8">
        <f>G23</f>
        <v>0</v>
      </c>
      <c r="I23" s="8">
        <f>WP2!G55+WP3!G48</f>
        <v>1</v>
      </c>
      <c r="J23" s="15">
        <f>I23*Staff!$E$24</f>
        <v>7.129058333333333</v>
      </c>
      <c r="K23" s="8">
        <f>Totals!$C$11*J23</f>
        <v>7.325107437500001</v>
      </c>
      <c r="L23" s="8">
        <f>WP2!J55+WP3!J48</f>
        <v>4</v>
      </c>
      <c r="M23" s="15">
        <f>L23*Staff!$F$24</f>
        <v>29.32799333333333</v>
      </c>
      <c r="N23" s="8">
        <f>Totals!$D$11*M23</f>
        <v>30.970360959999997</v>
      </c>
      <c r="O23" s="8">
        <f>WP2!M55+WP3!M48</f>
        <v>3</v>
      </c>
      <c r="P23" s="15">
        <f>O23*Staff!$G$24</f>
        <v>22.586929999999995</v>
      </c>
      <c r="Q23" s="8">
        <f>Totals!$E$11*P23</f>
        <v>24.506819049999994</v>
      </c>
      <c r="R23" s="8">
        <f t="shared" si="6"/>
        <v>8</v>
      </c>
      <c r="S23" s="8">
        <f t="shared" si="6"/>
        <v>59.04398166666665</v>
      </c>
      <c r="T23" s="8">
        <f t="shared" si="6"/>
        <v>62.80228744749999</v>
      </c>
    </row>
    <row r="24" spans="1:20" ht="12.75">
      <c r="A24" s="21" t="str">
        <f>Staff!$A$23</f>
        <v>I.Clark</v>
      </c>
      <c r="C24" s="11" t="s">
        <v>201</v>
      </c>
      <c r="D24" s="11" t="s">
        <v>204</v>
      </c>
      <c r="E24" s="12" t="s">
        <v>94</v>
      </c>
      <c r="F24" s="8">
        <f>WP3!D49</f>
        <v>0</v>
      </c>
      <c r="G24" s="15">
        <f>F24*Staff!$D$23</f>
        <v>0</v>
      </c>
      <c r="H24" s="8">
        <f>G24</f>
        <v>0</v>
      </c>
      <c r="I24" s="8">
        <f>WP3!G49</f>
        <v>0</v>
      </c>
      <c r="J24" s="15">
        <f>I24*Staff!$E$23</f>
        <v>0</v>
      </c>
      <c r="K24" s="8">
        <f>Totals!$C$11*J24</f>
        <v>0</v>
      </c>
      <c r="L24" s="8">
        <f>WP3!J49</f>
        <v>1</v>
      </c>
      <c r="M24" s="15">
        <f>L24*Staff!$F$23</f>
        <v>4.835885</v>
      </c>
      <c r="N24" s="8">
        <f>Totals!$D$11*M24</f>
        <v>5.10669456</v>
      </c>
      <c r="O24" s="8">
        <f>WP3!M49</f>
        <v>2</v>
      </c>
      <c r="P24" s="15">
        <f>O24*Staff!$G$23</f>
        <v>9.924836666666668</v>
      </c>
      <c r="Q24" s="8">
        <f>Totals!$E$11*P24</f>
        <v>10.768447783333334</v>
      </c>
      <c r="R24" s="8">
        <f t="shared" si="6"/>
        <v>3</v>
      </c>
      <c r="S24" s="8">
        <f t="shared" si="6"/>
        <v>14.760721666666669</v>
      </c>
      <c r="T24" s="8">
        <f t="shared" si="6"/>
        <v>15.875142343333334</v>
      </c>
    </row>
    <row r="25" spans="1:20" ht="12.75">
      <c r="A25" s="21" t="s">
        <v>188</v>
      </c>
      <c r="C25" s="11"/>
      <c r="D25" s="11"/>
      <c r="E25" s="12"/>
      <c r="F25" s="1">
        <f aca="true" t="shared" si="7" ref="F25:T25">SUM(F22:F24)</f>
        <v>1</v>
      </c>
      <c r="G25" s="1">
        <f t="shared" si="7"/>
        <v>4.969961666666666</v>
      </c>
      <c r="H25" s="1">
        <f t="shared" si="7"/>
        <v>4.969961666666666</v>
      </c>
      <c r="I25" s="1">
        <f t="shared" si="7"/>
        <v>2</v>
      </c>
      <c r="J25" s="1">
        <f t="shared" si="7"/>
        <v>12.237354999999999</v>
      </c>
      <c r="K25" s="1">
        <f t="shared" si="7"/>
        <v>12.5738822625</v>
      </c>
      <c r="L25" s="1">
        <f t="shared" si="7"/>
        <v>9</v>
      </c>
      <c r="M25" s="1">
        <f t="shared" si="7"/>
        <v>55.166951666666655</v>
      </c>
      <c r="N25" s="1">
        <f t="shared" si="7"/>
        <v>58.25630096</v>
      </c>
      <c r="O25" s="1">
        <f t="shared" si="7"/>
        <v>9</v>
      </c>
      <c r="P25" s="1">
        <f t="shared" si="7"/>
        <v>54.068179999999984</v>
      </c>
      <c r="Q25" s="1">
        <f t="shared" si="7"/>
        <v>58.66397529999998</v>
      </c>
      <c r="R25" s="1">
        <f t="shared" si="7"/>
        <v>21</v>
      </c>
      <c r="S25" s="1">
        <f t="shared" si="7"/>
        <v>126.4424483333333</v>
      </c>
      <c r="T25" s="1">
        <f t="shared" si="7"/>
        <v>134.46412018916664</v>
      </c>
    </row>
    <row r="26" spans="1:20" ht="12.75">
      <c r="A26" t="s">
        <v>4</v>
      </c>
      <c r="C26" s="11"/>
      <c r="D26" s="11"/>
      <c r="E26" s="12"/>
      <c r="F26" s="1">
        <f aca="true" t="shared" si="8" ref="F26:T26">F21+F25</f>
        <v>7</v>
      </c>
      <c r="G26" s="1">
        <f t="shared" si="8"/>
        <v>27.715301666666665</v>
      </c>
      <c r="H26" s="1">
        <f t="shared" si="8"/>
        <v>27.715301666666665</v>
      </c>
      <c r="I26" s="1">
        <f t="shared" si="8"/>
        <v>14</v>
      </c>
      <c r="J26" s="1">
        <f t="shared" si="8"/>
        <v>58.961735</v>
      </c>
      <c r="K26" s="1">
        <f t="shared" si="8"/>
        <v>60.5831827125</v>
      </c>
      <c r="L26" s="1">
        <f t="shared" si="8"/>
        <v>21</v>
      </c>
      <c r="M26" s="1">
        <f t="shared" si="8"/>
        <v>103.16153166666665</v>
      </c>
      <c r="N26" s="1">
        <f t="shared" si="8"/>
        <v>108.93857743999999</v>
      </c>
      <c r="O26" s="1">
        <f t="shared" si="8"/>
        <v>15</v>
      </c>
      <c r="P26" s="1">
        <f t="shared" si="8"/>
        <v>78.68231999999999</v>
      </c>
      <c r="Q26" s="1">
        <f t="shared" si="8"/>
        <v>85.37031719999999</v>
      </c>
      <c r="R26" s="1">
        <f t="shared" si="8"/>
        <v>57</v>
      </c>
      <c r="S26" s="1">
        <f t="shared" si="8"/>
        <v>268.5208883333333</v>
      </c>
      <c r="T26" s="1">
        <f t="shared" si="8"/>
        <v>282.6073790191666</v>
      </c>
    </row>
    <row r="27" spans="3:20" ht="12.75">
      <c r="C27" s="11"/>
      <c r="D27" s="11"/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12" ht="12.75">
      <c r="A28" t="s">
        <v>42</v>
      </c>
      <c r="F28" s="2"/>
      <c r="H28" s="2"/>
      <c r="J28" s="2"/>
      <c r="L28" s="2"/>
    </row>
    <row r="29" spans="1:20" ht="12.75">
      <c r="A29" t="s">
        <v>88</v>
      </c>
      <c r="B29" t="s">
        <v>186</v>
      </c>
      <c r="C29" t="s">
        <v>89</v>
      </c>
      <c r="D29" t="s">
        <v>90</v>
      </c>
      <c r="E29" t="s">
        <v>91</v>
      </c>
      <c r="F29" s="10" t="s">
        <v>177</v>
      </c>
      <c r="G29" s="14" t="s">
        <v>9</v>
      </c>
      <c r="H29" s="14" t="s">
        <v>178</v>
      </c>
      <c r="I29" s="10" t="s">
        <v>177</v>
      </c>
      <c r="J29" s="14" t="s">
        <v>9</v>
      </c>
      <c r="K29" s="14" t="s">
        <v>178</v>
      </c>
      <c r="L29" s="10" t="s">
        <v>177</v>
      </c>
      <c r="M29" s="14" t="s">
        <v>9</v>
      </c>
      <c r="N29" s="14" t="s">
        <v>178</v>
      </c>
      <c r="O29" s="10" t="s">
        <v>177</v>
      </c>
      <c r="P29" s="14" t="s">
        <v>9</v>
      </c>
      <c r="Q29" s="14" t="s">
        <v>178</v>
      </c>
      <c r="R29" s="10" t="s">
        <v>177</v>
      </c>
      <c r="S29" s="14" t="s">
        <v>9</v>
      </c>
      <c r="T29" s="14" t="s">
        <v>178</v>
      </c>
    </row>
    <row r="30" spans="1:20" ht="12.75">
      <c r="A30" s="21" t="str">
        <f>Staff!$A$28</f>
        <v>R.Hughes-Jones</v>
      </c>
      <c r="C30" s="11" t="s">
        <v>92</v>
      </c>
      <c r="D30" s="11" t="s">
        <v>204</v>
      </c>
      <c r="E30" s="12" t="s">
        <v>94</v>
      </c>
      <c r="F30" s="8">
        <f>WP2!D57</f>
        <v>1</v>
      </c>
      <c r="G30" s="15">
        <f>F30*Staff!$D$28</f>
        <v>5.922166666666667</v>
      </c>
      <c r="H30" s="8">
        <f aca="true" t="shared" si="9" ref="H30:H36">G30</f>
        <v>5.922166666666667</v>
      </c>
      <c r="I30" s="8">
        <f>WP2!G57</f>
        <v>2</v>
      </c>
      <c r="J30" s="15">
        <f>I30*Staff!$E$28</f>
        <v>12.140500000000001</v>
      </c>
      <c r="K30" s="8">
        <f>Totals!$C$11*J30</f>
        <v>12.474363750000002</v>
      </c>
      <c r="L30" s="8">
        <f>WP2!J57</f>
        <v>2</v>
      </c>
      <c r="M30" s="15">
        <f>L30*Staff!$F$28</f>
        <v>12.444</v>
      </c>
      <c r="N30" s="8">
        <f>Totals!$D$11*M30</f>
        <v>13.140864000000002</v>
      </c>
      <c r="O30" s="8">
        <f>WP2!M57</f>
        <v>1</v>
      </c>
      <c r="P30" s="15">
        <f>O30*Staff!$G$28</f>
        <v>6.370083333333334</v>
      </c>
      <c r="Q30" s="8">
        <f>Totals!$E$11*P30</f>
        <v>6.911540416666668</v>
      </c>
      <c r="R30" s="8">
        <f aca="true" t="shared" si="10" ref="R30:T36">F30+I30+L30+O30</f>
        <v>6</v>
      </c>
      <c r="S30" s="8">
        <f t="shared" si="10"/>
        <v>36.87675</v>
      </c>
      <c r="T30" s="8">
        <f t="shared" si="10"/>
        <v>38.44893483333334</v>
      </c>
    </row>
    <row r="31" spans="1:20" ht="12.75">
      <c r="A31" s="21" t="str">
        <f>Staff!$A$29</f>
        <v>S.Kolya</v>
      </c>
      <c r="C31" s="11" t="s">
        <v>92</v>
      </c>
      <c r="D31" s="11" t="s">
        <v>204</v>
      </c>
      <c r="E31" s="12" t="s">
        <v>94</v>
      </c>
      <c r="F31" s="8">
        <f>WP2!D58</f>
        <v>1</v>
      </c>
      <c r="G31" s="15">
        <f>F31*Staff!$D$29</f>
        <v>5.996166666666666</v>
      </c>
      <c r="H31" s="8">
        <f t="shared" si="9"/>
        <v>5.996166666666666</v>
      </c>
      <c r="I31" s="8">
        <f>WP2!G58</f>
        <v>1</v>
      </c>
      <c r="J31" s="15">
        <f>I31*Staff!$E$29</f>
        <v>6.146083333333333</v>
      </c>
      <c r="K31" s="8">
        <f>Totals!$C$11*J31</f>
        <v>6.315100625</v>
      </c>
      <c r="L31" s="8">
        <f>WP2!J58</f>
        <v>1</v>
      </c>
      <c r="M31" s="15">
        <f>L31*Staff!$F$29</f>
        <v>6.2997499999999995</v>
      </c>
      <c r="N31" s="8">
        <f>Totals!$D$11*M31</f>
        <v>6.652536</v>
      </c>
      <c r="O31" s="8">
        <f>WP2!M58</f>
        <v>1</v>
      </c>
      <c r="P31" s="15">
        <f>O31*Staff!$G$29</f>
        <v>6.449666666666666</v>
      </c>
      <c r="Q31" s="8">
        <f>Totals!$E$11*P31</f>
        <v>6.997888333333333</v>
      </c>
      <c r="R31" s="8">
        <f t="shared" si="10"/>
        <v>4</v>
      </c>
      <c r="S31" s="8">
        <f t="shared" si="10"/>
        <v>24.891666666666666</v>
      </c>
      <c r="T31" s="8">
        <f t="shared" si="10"/>
        <v>25.961691624999997</v>
      </c>
    </row>
    <row r="32" spans="1:20" ht="12.75">
      <c r="A32" s="21" t="str">
        <f>Staff!$A$32</f>
        <v>R.J.Thompson</v>
      </c>
      <c r="C32" s="11" t="s">
        <v>92</v>
      </c>
      <c r="D32" s="11" t="s">
        <v>204</v>
      </c>
      <c r="E32" s="12" t="s">
        <v>94</v>
      </c>
      <c r="F32" s="8">
        <f>WP4!D31</f>
        <v>1</v>
      </c>
      <c r="G32" s="15">
        <f>F32*Staff!$D$32</f>
        <v>5.922166666666667</v>
      </c>
      <c r="H32" s="8">
        <f t="shared" si="9"/>
        <v>5.922166666666667</v>
      </c>
      <c r="I32" s="8">
        <f>WP4!G31</f>
        <v>1</v>
      </c>
      <c r="J32" s="15">
        <f>I32*Staff!$E$32</f>
        <v>6.070250000000001</v>
      </c>
      <c r="K32" s="8">
        <f>Totals!$C$11*J32</f>
        <v>6.237181875000001</v>
      </c>
      <c r="L32" s="8">
        <f>WP4!J31</f>
        <v>4</v>
      </c>
      <c r="M32" s="15">
        <f>L32*Staff!$F$32</f>
        <v>24.888</v>
      </c>
      <c r="N32" s="8">
        <f>Totals!$D$11*M32</f>
        <v>26.281728000000005</v>
      </c>
      <c r="O32" s="8">
        <f>WP4!M31</f>
        <v>4</v>
      </c>
      <c r="P32" s="15">
        <f>O32*Staff!$G$32</f>
        <v>25.480333333333338</v>
      </c>
      <c r="Q32" s="8">
        <f>Totals!$E$11*P32</f>
        <v>27.64616166666667</v>
      </c>
      <c r="R32" s="8">
        <f t="shared" si="10"/>
        <v>10</v>
      </c>
      <c r="S32" s="8">
        <f t="shared" si="10"/>
        <v>62.36075000000001</v>
      </c>
      <c r="T32" s="8">
        <f t="shared" si="10"/>
        <v>66.08723820833335</v>
      </c>
    </row>
    <row r="33" spans="1:20" ht="12.75">
      <c r="A33" s="21" t="str">
        <f>Staff!$A$31</f>
        <v>S.Snow</v>
      </c>
      <c r="C33" s="11" t="s">
        <v>92</v>
      </c>
      <c r="D33" s="11" t="s">
        <v>204</v>
      </c>
      <c r="E33" s="12" t="s">
        <v>94</v>
      </c>
      <c r="F33" s="8">
        <f>WP4!D32</f>
        <v>1</v>
      </c>
      <c r="G33" s="15">
        <f>F33*Staff!$D$31</f>
        <v>5.725750000000001</v>
      </c>
      <c r="H33" s="8">
        <f t="shared" si="9"/>
        <v>5.725750000000001</v>
      </c>
      <c r="I33" s="8">
        <f>WP4!G32</f>
        <v>1</v>
      </c>
      <c r="J33" s="15">
        <f>I33*Staff!$E$31</f>
        <v>6.0955</v>
      </c>
      <c r="K33" s="8">
        <f>Totals!$C$11*J33</f>
        <v>6.263126250000001</v>
      </c>
      <c r="L33" s="8">
        <f>WP4!J32</f>
        <v>1</v>
      </c>
      <c r="M33" s="15">
        <f>L33*Staff!$F$31</f>
        <v>6.37725</v>
      </c>
      <c r="N33" s="8">
        <f>Totals!$D$11*M33</f>
        <v>6.734376</v>
      </c>
      <c r="O33" s="8">
        <f>WP4!M32</f>
        <v>1</v>
      </c>
      <c r="P33" s="15">
        <f>O33*Staff!$G$31</f>
        <v>6.747000000000001</v>
      </c>
      <c r="Q33" s="8">
        <f>Totals!$E$11*P33</f>
        <v>7.320495</v>
      </c>
      <c r="R33" s="8">
        <f t="shared" si="10"/>
        <v>4</v>
      </c>
      <c r="S33" s="8">
        <f t="shared" si="10"/>
        <v>24.945500000000003</v>
      </c>
      <c r="T33" s="8">
        <f t="shared" si="10"/>
        <v>26.043747250000003</v>
      </c>
    </row>
    <row r="34" spans="1:20" ht="12.75">
      <c r="A34" s="21" t="str">
        <f>Staff!$A$27</f>
        <v>J.Freestone</v>
      </c>
      <c r="C34" s="11" t="s">
        <v>92</v>
      </c>
      <c r="D34" s="11" t="s">
        <v>204</v>
      </c>
      <c r="E34" s="12" t="s">
        <v>94</v>
      </c>
      <c r="F34" s="8">
        <f>WP4!D33</f>
        <v>1</v>
      </c>
      <c r="G34" s="15">
        <f>F34*Staff!$D$27</f>
        <v>3.998333333333333</v>
      </c>
      <c r="H34" s="8">
        <f t="shared" si="9"/>
        <v>3.998333333333333</v>
      </c>
      <c r="I34" s="8">
        <f>WP4!G33</f>
        <v>1</v>
      </c>
      <c r="J34" s="15">
        <f>I34*Staff!$E$27</f>
        <v>4.276</v>
      </c>
      <c r="K34" s="8">
        <f>Totals!$C$11*J34</f>
        <v>4.3935900000000006</v>
      </c>
      <c r="L34" s="8">
        <f>WP4!J33</f>
        <v>2</v>
      </c>
      <c r="M34" s="15">
        <f>L34*Staff!$F$27</f>
        <v>9.0855</v>
      </c>
      <c r="N34" s="8">
        <f>Totals!$D$11*M34</f>
        <v>9.594288</v>
      </c>
      <c r="O34" s="8">
        <f>WP4!M33</f>
        <v>2</v>
      </c>
      <c r="P34" s="15">
        <f>O34*Staff!$G$27</f>
        <v>9.640833333333333</v>
      </c>
      <c r="Q34" s="8">
        <f>Totals!$E$11*P34</f>
        <v>10.460304166666667</v>
      </c>
      <c r="R34" s="8">
        <f t="shared" si="10"/>
        <v>6</v>
      </c>
      <c r="S34" s="8">
        <f t="shared" si="10"/>
        <v>27.000666666666667</v>
      </c>
      <c r="T34" s="8">
        <f t="shared" si="10"/>
        <v>28.446515500000004</v>
      </c>
    </row>
    <row r="35" spans="1:20" ht="12.75">
      <c r="A35" s="21" t="str">
        <f>Staff!$A$26</f>
        <v>A.Elvin</v>
      </c>
      <c r="C35" s="11" t="s">
        <v>92</v>
      </c>
      <c r="D35" s="11" t="s">
        <v>204</v>
      </c>
      <c r="E35" s="12" t="s">
        <v>94</v>
      </c>
      <c r="F35" s="8">
        <f>WP4!D34</f>
        <v>1</v>
      </c>
      <c r="G35" s="15">
        <f>F35*Staff!$D$26</f>
        <v>2.9435000000000002</v>
      </c>
      <c r="H35" s="8">
        <f t="shared" si="9"/>
        <v>2.9435000000000002</v>
      </c>
      <c r="I35" s="8">
        <f>WP4!G34</f>
        <v>1</v>
      </c>
      <c r="J35" s="15">
        <f>I35*Staff!$E$26</f>
        <v>3.1063333333333336</v>
      </c>
      <c r="K35" s="8">
        <f>Totals!$C$11*J35</f>
        <v>3.1917575000000005</v>
      </c>
      <c r="L35" s="8">
        <f>WP4!J34</f>
        <v>2</v>
      </c>
      <c r="M35" s="15">
        <f>L35*Staff!$F$26</f>
        <v>6.623166666666666</v>
      </c>
      <c r="N35" s="8">
        <f>Totals!$D$11*M35</f>
        <v>6.994064</v>
      </c>
      <c r="O35" s="8">
        <f>WP4!M34</f>
        <v>2</v>
      </c>
      <c r="P35" s="15">
        <f>O35*Staff!$G$26</f>
        <v>6.948833333333333</v>
      </c>
      <c r="Q35" s="8">
        <f>Totals!$E$11*P35</f>
        <v>7.539484166666666</v>
      </c>
      <c r="R35" s="8">
        <f t="shared" si="10"/>
        <v>6</v>
      </c>
      <c r="S35" s="8">
        <f t="shared" si="10"/>
        <v>19.621833333333335</v>
      </c>
      <c r="T35" s="8">
        <f t="shared" si="10"/>
        <v>20.668805666666664</v>
      </c>
    </row>
    <row r="36" spans="1:20" ht="12.75">
      <c r="A36" s="21" t="str">
        <f>Staff!$A$30</f>
        <v>M.Perry</v>
      </c>
      <c r="C36" s="11" t="s">
        <v>92</v>
      </c>
      <c r="D36" s="11" t="s">
        <v>204</v>
      </c>
      <c r="E36" s="12" t="s">
        <v>94</v>
      </c>
      <c r="F36" s="8">
        <f>WP4!D35</f>
        <v>1</v>
      </c>
      <c r="G36" s="15">
        <f>F36*Staff!$D$30</f>
        <v>2.3937500000000003</v>
      </c>
      <c r="H36" s="8">
        <f t="shared" si="9"/>
        <v>2.3937500000000003</v>
      </c>
      <c r="I36" s="8">
        <f>WP4!G35</f>
        <v>1</v>
      </c>
      <c r="J36" s="15">
        <f>I36*Staff!$E$30</f>
        <v>2.5261666666666667</v>
      </c>
      <c r="K36" s="8">
        <f>Totals!$C$11*J36</f>
        <v>2.59563625</v>
      </c>
      <c r="L36" s="8">
        <f>WP4!J35</f>
        <v>1</v>
      </c>
      <c r="M36" s="15">
        <f>L36*Staff!$F$30</f>
        <v>2.66775</v>
      </c>
      <c r="N36" s="8">
        <f>Totals!$D$11*M36</f>
        <v>2.817144</v>
      </c>
      <c r="O36" s="8">
        <f>WP4!M35</f>
        <v>1</v>
      </c>
      <c r="P36" s="15">
        <f>O36*Staff!$G$30</f>
        <v>2.8001666666666662</v>
      </c>
      <c r="Q36" s="8">
        <f>Totals!$E$11*P36</f>
        <v>3.0381808333333327</v>
      </c>
      <c r="R36" s="8">
        <f t="shared" si="10"/>
        <v>4</v>
      </c>
      <c r="S36" s="8">
        <f t="shared" si="10"/>
        <v>10.387833333333333</v>
      </c>
      <c r="T36" s="8">
        <f t="shared" si="10"/>
        <v>10.844711083333333</v>
      </c>
    </row>
    <row r="37" spans="1:20" ht="12.75">
      <c r="A37" s="21" t="s">
        <v>188</v>
      </c>
      <c r="C37" s="11"/>
      <c r="D37" s="11"/>
      <c r="E37" s="12"/>
      <c r="F37" s="1">
        <f aca="true" t="shared" si="11" ref="F37:T37">SUM(F30:F36)</f>
        <v>7</v>
      </c>
      <c r="G37" s="1">
        <f t="shared" si="11"/>
        <v>32.90183333333333</v>
      </c>
      <c r="H37" s="1">
        <f t="shared" si="11"/>
        <v>32.90183333333333</v>
      </c>
      <c r="I37" s="1">
        <f t="shared" si="11"/>
        <v>8</v>
      </c>
      <c r="J37" s="1">
        <f t="shared" si="11"/>
        <v>40.36083333333334</v>
      </c>
      <c r="K37" s="1">
        <f t="shared" si="11"/>
        <v>41.47075625000001</v>
      </c>
      <c r="L37" s="1">
        <f t="shared" si="11"/>
        <v>13</v>
      </c>
      <c r="M37" s="1">
        <f t="shared" si="11"/>
        <v>68.38541666666666</v>
      </c>
      <c r="N37" s="1">
        <f t="shared" si="11"/>
        <v>72.215</v>
      </c>
      <c r="O37" s="1">
        <f t="shared" si="11"/>
        <v>12</v>
      </c>
      <c r="P37" s="1">
        <f t="shared" si="11"/>
        <v>64.43691666666668</v>
      </c>
      <c r="Q37" s="1">
        <f t="shared" si="11"/>
        <v>69.91405458333334</v>
      </c>
      <c r="R37" s="1">
        <f t="shared" si="11"/>
        <v>40</v>
      </c>
      <c r="S37" s="1">
        <f t="shared" si="11"/>
        <v>206.085</v>
      </c>
      <c r="T37" s="1">
        <f t="shared" si="11"/>
        <v>216.50164416666667</v>
      </c>
    </row>
    <row r="39" spans="1:12" ht="12.75">
      <c r="A39" t="s">
        <v>12</v>
      </c>
      <c r="F39" s="2"/>
      <c r="H39" s="2"/>
      <c r="J39" s="2"/>
      <c r="L39" s="2"/>
    </row>
    <row r="40" spans="1:20" ht="12.75">
      <c r="A40" t="s">
        <v>88</v>
      </c>
      <c r="B40" t="s">
        <v>186</v>
      </c>
      <c r="C40" t="s">
        <v>89</v>
      </c>
      <c r="D40" t="s">
        <v>90</v>
      </c>
      <c r="E40" t="s">
        <v>91</v>
      </c>
      <c r="F40" s="10" t="s">
        <v>177</v>
      </c>
      <c r="G40" s="14" t="s">
        <v>9</v>
      </c>
      <c r="H40" s="14" t="s">
        <v>178</v>
      </c>
      <c r="I40" s="10" t="s">
        <v>177</v>
      </c>
      <c r="J40" s="14" t="s">
        <v>9</v>
      </c>
      <c r="K40" s="14" t="s">
        <v>178</v>
      </c>
      <c r="L40" s="10" t="s">
        <v>177</v>
      </c>
      <c r="M40" s="14" t="s">
        <v>9</v>
      </c>
      <c r="N40" s="14" t="s">
        <v>178</v>
      </c>
      <c r="O40" s="10" t="s">
        <v>177</v>
      </c>
      <c r="P40" s="14" t="s">
        <v>9</v>
      </c>
      <c r="Q40" s="14" t="s">
        <v>178</v>
      </c>
      <c r="R40" s="10" t="s">
        <v>177</v>
      </c>
      <c r="S40" s="14" t="s">
        <v>9</v>
      </c>
      <c r="T40" s="14" t="s">
        <v>178</v>
      </c>
    </row>
    <row r="41" spans="1:20" ht="12.75">
      <c r="A41" s="21" t="str">
        <f>Staff!$A$9</f>
        <v>R.Turchetta</v>
      </c>
      <c r="B41" t="s">
        <v>187</v>
      </c>
      <c r="C41" s="11" t="s">
        <v>92</v>
      </c>
      <c r="D41" s="11" t="s">
        <v>204</v>
      </c>
      <c r="E41" s="12" t="s">
        <v>94</v>
      </c>
      <c r="F41" s="8">
        <f>WP3!D6</f>
        <v>1</v>
      </c>
      <c r="G41" s="15">
        <f>F41*Staff!$D$9</f>
        <v>10.885</v>
      </c>
      <c r="H41" s="8">
        <f>G41</f>
        <v>10.885</v>
      </c>
      <c r="I41" s="8">
        <f>WP3!G6</f>
        <v>1</v>
      </c>
      <c r="J41" s="15">
        <f>I41*Staff!$E$9</f>
        <v>11.196</v>
      </c>
      <c r="K41" s="8">
        <f>Totals!$C$11*J41</f>
        <v>11.50389</v>
      </c>
      <c r="L41" s="8">
        <f>WP3!J6</f>
        <v>1</v>
      </c>
      <c r="M41" s="15">
        <f>L41*Staff!$F$9</f>
        <v>11.504</v>
      </c>
      <c r="N41" s="8">
        <f>Totals!$D$11*M41</f>
        <v>12.148224</v>
      </c>
      <c r="O41" s="8">
        <f>WP3!M6</f>
        <v>1</v>
      </c>
      <c r="P41" s="15">
        <f>O41*Staff!$G$9</f>
        <v>11.815</v>
      </c>
      <c r="Q41" s="8">
        <f>Totals!$E$11*P41</f>
        <v>12.819275</v>
      </c>
      <c r="R41" s="8">
        <f aca="true" t="shared" si="12" ref="R41:T42">F41+I41+L41+O41</f>
        <v>4</v>
      </c>
      <c r="S41" s="8">
        <f t="shared" si="12"/>
        <v>45.4</v>
      </c>
      <c r="T41" s="8">
        <f t="shared" si="12"/>
        <v>47.356389</v>
      </c>
    </row>
    <row r="42" spans="1:20" ht="12.75">
      <c r="A42" s="21" t="str">
        <f>Staff!$A$8</f>
        <v>J.Crooks</v>
      </c>
      <c r="B42" t="s">
        <v>187</v>
      </c>
      <c r="C42" s="11" t="s">
        <v>144</v>
      </c>
      <c r="D42" s="11" t="s">
        <v>200</v>
      </c>
      <c r="E42" s="12" t="s">
        <v>94</v>
      </c>
      <c r="F42" s="8">
        <f>WP3!D7</f>
        <v>3</v>
      </c>
      <c r="G42" s="15">
        <f>F42*Staff!$D$8</f>
        <v>17.07675</v>
      </c>
      <c r="H42" s="8">
        <f>G42</f>
        <v>17.07675</v>
      </c>
      <c r="I42" s="8">
        <f>WP3!G7</f>
        <v>12</v>
      </c>
      <c r="J42" s="15">
        <f>I42*Staff!$E$8</f>
        <v>70.983</v>
      </c>
      <c r="K42" s="8">
        <f>Totals!$C$11*J42</f>
        <v>72.9350325</v>
      </c>
      <c r="L42" s="8">
        <f>WP3!J7</f>
        <v>12</v>
      </c>
      <c r="M42" s="15">
        <f>L42*Staff!$F$8</f>
        <v>73.662</v>
      </c>
      <c r="N42" s="8">
        <f>Totals!$D$11*M42</f>
        <v>77.78707200000001</v>
      </c>
      <c r="O42" s="8">
        <f>WP3!M7</f>
        <v>9</v>
      </c>
      <c r="P42" s="15">
        <f>O42*Staff!$G$8</f>
        <v>57.255</v>
      </c>
      <c r="Q42" s="8">
        <f>Totals!$E$11*P42</f>
        <v>62.121675</v>
      </c>
      <c r="R42" s="8">
        <f t="shared" si="12"/>
        <v>36</v>
      </c>
      <c r="S42" s="8">
        <f t="shared" si="12"/>
        <v>218.97675</v>
      </c>
      <c r="T42" s="8">
        <f t="shared" si="12"/>
        <v>229.92052950000001</v>
      </c>
    </row>
    <row r="43" spans="1:20" ht="12.75">
      <c r="A43" t="s">
        <v>190</v>
      </c>
      <c r="C43" s="11"/>
      <c r="D43" s="11"/>
      <c r="E43" s="12"/>
      <c r="F43" s="1">
        <f aca="true" t="shared" si="13" ref="F43:T43">SUM(F41:F42)</f>
        <v>4</v>
      </c>
      <c r="G43" s="1">
        <f t="shared" si="13"/>
        <v>27.961750000000002</v>
      </c>
      <c r="H43" s="1">
        <f t="shared" si="13"/>
        <v>27.961750000000002</v>
      </c>
      <c r="I43" s="1">
        <f t="shared" si="13"/>
        <v>13</v>
      </c>
      <c r="J43" s="1">
        <f t="shared" si="13"/>
        <v>82.179</v>
      </c>
      <c r="K43" s="1">
        <f t="shared" si="13"/>
        <v>84.4389225</v>
      </c>
      <c r="L43" s="1">
        <f t="shared" si="13"/>
        <v>13</v>
      </c>
      <c r="M43" s="1">
        <f t="shared" si="13"/>
        <v>85.16600000000001</v>
      </c>
      <c r="N43" s="1">
        <f t="shared" si="13"/>
        <v>89.93529600000001</v>
      </c>
      <c r="O43" s="1">
        <f t="shared" si="13"/>
        <v>10</v>
      </c>
      <c r="P43" s="1">
        <f t="shared" si="13"/>
        <v>69.07000000000001</v>
      </c>
      <c r="Q43" s="1">
        <f t="shared" si="13"/>
        <v>74.94095</v>
      </c>
      <c r="R43" s="1">
        <f t="shared" si="13"/>
        <v>40</v>
      </c>
      <c r="S43" s="1">
        <f t="shared" si="13"/>
        <v>264.37675</v>
      </c>
      <c r="T43" s="1">
        <f t="shared" si="13"/>
        <v>277.2769185</v>
      </c>
    </row>
    <row r="45" spans="1:12" ht="12.75">
      <c r="A45" t="s">
        <v>13</v>
      </c>
      <c r="F45" s="2"/>
      <c r="H45" s="2"/>
      <c r="J45" s="2"/>
      <c r="L45" s="2"/>
    </row>
    <row r="46" spans="1:20" ht="12.75">
      <c r="A46" t="s">
        <v>88</v>
      </c>
      <c r="B46" t="s">
        <v>186</v>
      </c>
      <c r="C46" t="s">
        <v>89</v>
      </c>
      <c r="D46" t="s">
        <v>90</v>
      </c>
      <c r="E46" t="s">
        <v>91</v>
      </c>
      <c r="F46" s="10" t="s">
        <v>177</v>
      </c>
      <c r="G46" s="14" t="s">
        <v>9</v>
      </c>
      <c r="H46" s="14" t="s">
        <v>178</v>
      </c>
      <c r="I46" s="10" t="s">
        <v>177</v>
      </c>
      <c r="J46" s="14" t="s">
        <v>9</v>
      </c>
      <c r="K46" s="14" t="s">
        <v>178</v>
      </c>
      <c r="L46" s="10" t="s">
        <v>177</v>
      </c>
      <c r="M46" s="14" t="s">
        <v>9</v>
      </c>
      <c r="N46" s="14" t="s">
        <v>178</v>
      </c>
      <c r="O46" s="10" t="s">
        <v>177</v>
      </c>
      <c r="P46" s="14" t="s">
        <v>9</v>
      </c>
      <c r="Q46" s="14" t="s">
        <v>178</v>
      </c>
      <c r="R46" s="10" t="s">
        <v>177</v>
      </c>
      <c r="S46" s="14" t="s">
        <v>9</v>
      </c>
      <c r="T46" s="14" t="s">
        <v>178</v>
      </c>
    </row>
    <row r="47" spans="1:20" ht="12.75">
      <c r="A47" s="21" t="str">
        <f>Staff!$A$11</f>
        <v>E.G.Villani</v>
      </c>
      <c r="B47" t="s">
        <v>187</v>
      </c>
      <c r="C47" s="11" t="s">
        <v>93</v>
      </c>
      <c r="D47" s="11" t="s">
        <v>204</v>
      </c>
      <c r="E47" s="12" t="s">
        <v>94</v>
      </c>
      <c r="F47" s="8">
        <f>WP3!D8</f>
        <v>0</v>
      </c>
      <c r="G47" s="15">
        <f>F47*Staff!$D$11</f>
        <v>0</v>
      </c>
      <c r="H47" s="8">
        <v>0</v>
      </c>
      <c r="I47" s="8">
        <f>WP3!G8</f>
        <v>5</v>
      </c>
      <c r="J47" s="15">
        <f>I47*Staff!$E$11</f>
        <v>32.5</v>
      </c>
      <c r="K47" s="8">
        <f>Totals!$C$11*J47</f>
        <v>33.393750000000004</v>
      </c>
      <c r="L47" s="8">
        <f>WP3!J8</f>
        <v>5</v>
      </c>
      <c r="M47" s="15">
        <f>L47*Staff!$F$11</f>
        <v>32.5</v>
      </c>
      <c r="N47" s="8">
        <f>Totals!$D$11*M47</f>
        <v>34.32</v>
      </c>
      <c r="O47" s="8">
        <f>WP3!M8</f>
        <v>5</v>
      </c>
      <c r="P47" s="15">
        <f>O47*Staff!$G$11</f>
        <v>32.5</v>
      </c>
      <c r="Q47" s="8">
        <f>Totals!$E$11*P47</f>
        <v>35.262499999999996</v>
      </c>
      <c r="R47" s="8">
        <f aca="true" t="shared" si="14" ref="R47:T52">F47+I47+L47+O47</f>
        <v>15</v>
      </c>
      <c r="S47" s="8">
        <f t="shared" si="14"/>
        <v>97.5</v>
      </c>
      <c r="T47" s="8">
        <f t="shared" si="14"/>
        <v>102.97625</v>
      </c>
    </row>
    <row r="48" spans="1:20" ht="12.75">
      <c r="A48" s="21" t="str">
        <f>Staff!$A$10</f>
        <v>M.Tyndel</v>
      </c>
      <c r="B48" t="s">
        <v>187</v>
      </c>
      <c r="C48" s="11" t="s">
        <v>93</v>
      </c>
      <c r="D48" s="11" t="s">
        <v>204</v>
      </c>
      <c r="E48" s="12" t="s">
        <v>94</v>
      </c>
      <c r="F48" s="8">
        <f>WP3!D9</f>
        <v>0</v>
      </c>
      <c r="G48" s="15">
        <f>F48*Staff!$D$10</f>
        <v>0</v>
      </c>
      <c r="H48" s="8">
        <v>0</v>
      </c>
      <c r="I48" s="8">
        <f>WP3!G9</f>
        <v>1</v>
      </c>
      <c r="J48" s="15">
        <f>I48*Staff!$E$10</f>
        <v>6.5</v>
      </c>
      <c r="K48" s="8">
        <f>Totals!$C$11*J48</f>
        <v>6.678750000000001</v>
      </c>
      <c r="L48" s="8">
        <f>WP3!J9</f>
        <v>1</v>
      </c>
      <c r="M48" s="15">
        <f>L48*Staff!$F$10</f>
        <v>6.5</v>
      </c>
      <c r="N48" s="8">
        <f>Totals!$D$11*M48</f>
        <v>6.864000000000001</v>
      </c>
      <c r="O48" s="8">
        <f>WP3!M9</f>
        <v>1</v>
      </c>
      <c r="P48" s="15">
        <f>O48*Staff!$G$10</f>
        <v>6.5</v>
      </c>
      <c r="Q48" s="8">
        <f>Totals!$E$11*P48</f>
        <v>7.0525</v>
      </c>
      <c r="R48" s="8">
        <f t="shared" si="14"/>
        <v>3</v>
      </c>
      <c r="S48" s="8">
        <f t="shared" si="14"/>
        <v>19.5</v>
      </c>
      <c r="T48" s="8">
        <f t="shared" si="14"/>
        <v>20.59525</v>
      </c>
    </row>
    <row r="49" spans="1:20" ht="12.75">
      <c r="A49" s="21" t="str">
        <f>Staff!$A$12</f>
        <v>New RA-5</v>
      </c>
      <c r="B49" t="s">
        <v>187</v>
      </c>
      <c r="C49" s="11" t="s">
        <v>201</v>
      </c>
      <c r="D49" s="11" t="s">
        <v>204</v>
      </c>
      <c r="E49" s="12" t="s">
        <v>94</v>
      </c>
      <c r="F49" s="8">
        <f>WP3!D10</f>
        <v>0</v>
      </c>
      <c r="G49" s="15">
        <f>F49*Staff!$D$12</f>
        <v>0</v>
      </c>
      <c r="H49" s="8">
        <v>0</v>
      </c>
      <c r="I49" s="8">
        <f>WP3!G10</f>
        <v>0</v>
      </c>
      <c r="J49" s="15">
        <f>I49*Staff!$E$12</f>
        <v>0</v>
      </c>
      <c r="K49" s="8">
        <f>Totals!$C$11*J49</f>
        <v>0</v>
      </c>
      <c r="L49" s="8">
        <f>WP3!J10</f>
        <v>12</v>
      </c>
      <c r="M49" s="15">
        <f>L49*Staff!$F$12</f>
        <v>59</v>
      </c>
      <c r="N49" s="8">
        <f>Totals!$D$11*M49</f>
        <v>62.304</v>
      </c>
      <c r="O49" s="8">
        <f>WP3!M10</f>
        <v>12</v>
      </c>
      <c r="P49" s="15">
        <f>O49*Staff!$G$12</f>
        <v>59</v>
      </c>
      <c r="Q49" s="8">
        <f>Totals!$E$11*P49</f>
        <v>64.015</v>
      </c>
      <c r="R49" s="8">
        <f t="shared" si="14"/>
        <v>24</v>
      </c>
      <c r="S49" s="8">
        <f t="shared" si="14"/>
        <v>118</v>
      </c>
      <c r="T49" s="8">
        <f t="shared" si="14"/>
        <v>126.319</v>
      </c>
    </row>
    <row r="50" spans="1:20" ht="12.75">
      <c r="A50" t="s">
        <v>190</v>
      </c>
      <c r="C50" s="11"/>
      <c r="D50" s="11"/>
      <c r="E50" s="12"/>
      <c r="F50" s="1">
        <f aca="true" t="shared" si="15" ref="F50:T50">SUM(F47:F49)</f>
        <v>0</v>
      </c>
      <c r="G50" s="1">
        <f t="shared" si="15"/>
        <v>0</v>
      </c>
      <c r="H50" s="1">
        <f t="shared" si="15"/>
        <v>0</v>
      </c>
      <c r="I50" s="1">
        <f t="shared" si="15"/>
        <v>6</v>
      </c>
      <c r="J50" s="1">
        <f t="shared" si="15"/>
        <v>39</v>
      </c>
      <c r="K50" s="1">
        <f t="shared" si="15"/>
        <v>40.072500000000005</v>
      </c>
      <c r="L50" s="1">
        <f t="shared" si="15"/>
        <v>18</v>
      </c>
      <c r="M50" s="1">
        <f t="shared" si="15"/>
        <v>98</v>
      </c>
      <c r="N50" s="1">
        <f t="shared" si="15"/>
        <v>103.488</v>
      </c>
      <c r="O50" s="1">
        <f t="shared" si="15"/>
        <v>18</v>
      </c>
      <c r="P50" s="1">
        <f t="shared" si="15"/>
        <v>98</v>
      </c>
      <c r="Q50" s="1">
        <f t="shared" si="15"/>
        <v>106.33</v>
      </c>
      <c r="R50" s="1">
        <f t="shared" si="15"/>
        <v>42</v>
      </c>
      <c r="S50" s="1">
        <f t="shared" si="15"/>
        <v>235</v>
      </c>
      <c r="T50" s="1">
        <f t="shared" si="15"/>
        <v>249.89049999999997</v>
      </c>
    </row>
    <row r="51" spans="1:20" ht="12.75">
      <c r="A51" s="21" t="str">
        <f>Staff!$A$11</f>
        <v>E.G.Villani</v>
      </c>
      <c r="C51" s="11" t="s">
        <v>92</v>
      </c>
      <c r="D51" s="11" t="s">
        <v>202</v>
      </c>
      <c r="E51" s="12" t="s">
        <v>94</v>
      </c>
      <c r="F51" s="8">
        <f>WP3!D50</f>
        <v>5</v>
      </c>
      <c r="G51" s="15">
        <f>F51*Staff!$D$11</f>
        <v>32.5</v>
      </c>
      <c r="H51" s="8">
        <f>G51</f>
        <v>32.5</v>
      </c>
      <c r="I51" s="8">
        <f>WP3!G50</f>
        <v>0</v>
      </c>
      <c r="J51" s="15">
        <f>I51*Staff!$E$11</f>
        <v>0</v>
      </c>
      <c r="K51" s="8">
        <v>0</v>
      </c>
      <c r="L51" s="8">
        <f>WP3!J50</f>
        <v>0</v>
      </c>
      <c r="M51" s="15">
        <f>L51*Staff!$F$11</f>
        <v>0</v>
      </c>
      <c r="N51" s="8">
        <v>0</v>
      </c>
      <c r="O51" s="8">
        <f>WP3!M50</f>
        <v>0</v>
      </c>
      <c r="P51" s="15">
        <f>O51*Staff!$G$11</f>
        <v>0</v>
      </c>
      <c r="Q51" s="8">
        <v>0</v>
      </c>
      <c r="R51" s="8">
        <f t="shared" si="14"/>
        <v>5</v>
      </c>
      <c r="S51" s="8">
        <f t="shared" si="14"/>
        <v>32.5</v>
      </c>
      <c r="T51" s="8">
        <f t="shared" si="14"/>
        <v>32.5</v>
      </c>
    </row>
    <row r="52" spans="1:20" ht="12.75">
      <c r="A52" s="21" t="str">
        <f>Staff!$A$10</f>
        <v>M.Tyndel</v>
      </c>
      <c r="C52" s="11" t="s">
        <v>92</v>
      </c>
      <c r="D52" s="11" t="s">
        <v>202</v>
      </c>
      <c r="E52" s="12" t="s">
        <v>94</v>
      </c>
      <c r="F52" s="8">
        <f>WP3!D51</f>
        <v>1</v>
      </c>
      <c r="G52" s="15">
        <f>F52*Staff!$D$10</f>
        <v>6.5</v>
      </c>
      <c r="H52" s="8">
        <f>G52</f>
        <v>6.5</v>
      </c>
      <c r="I52" s="8">
        <f>WP3!G51</f>
        <v>0</v>
      </c>
      <c r="J52" s="15">
        <f>I52*Staff!$E$10</f>
        <v>0</v>
      </c>
      <c r="K52" s="8">
        <v>0</v>
      </c>
      <c r="L52" s="8">
        <f>WP3!J51</f>
        <v>0</v>
      </c>
      <c r="M52" s="15">
        <f>L52*Staff!$F$10</f>
        <v>0</v>
      </c>
      <c r="N52" s="8">
        <v>0</v>
      </c>
      <c r="O52" s="8">
        <f>WP3!M51</f>
        <v>0</v>
      </c>
      <c r="P52" s="15">
        <f>O52*Staff!$G$10</f>
        <v>0</v>
      </c>
      <c r="Q52" s="8">
        <v>0</v>
      </c>
      <c r="R52" s="8">
        <f t="shared" si="14"/>
        <v>1</v>
      </c>
      <c r="S52" s="8">
        <f t="shared" si="14"/>
        <v>6.5</v>
      </c>
      <c r="T52" s="8">
        <f t="shared" si="14"/>
        <v>6.5</v>
      </c>
    </row>
    <row r="53" spans="1:20" ht="12.75">
      <c r="A53" t="s">
        <v>189</v>
      </c>
      <c r="C53" s="11"/>
      <c r="D53" s="11"/>
      <c r="E53" s="12"/>
      <c r="F53" s="1">
        <f aca="true" t="shared" si="16" ref="F53:T53">SUM(F51:F52)</f>
        <v>6</v>
      </c>
      <c r="G53" s="1">
        <f t="shared" si="16"/>
        <v>39</v>
      </c>
      <c r="H53" s="1">
        <f t="shared" si="16"/>
        <v>39</v>
      </c>
      <c r="I53" s="1">
        <f t="shared" si="16"/>
        <v>0</v>
      </c>
      <c r="J53" s="1">
        <f t="shared" si="16"/>
        <v>0</v>
      </c>
      <c r="K53" s="1">
        <f t="shared" si="16"/>
        <v>0</v>
      </c>
      <c r="L53" s="1">
        <f t="shared" si="16"/>
        <v>0</v>
      </c>
      <c r="M53" s="1">
        <f t="shared" si="16"/>
        <v>0</v>
      </c>
      <c r="N53" s="1">
        <f t="shared" si="16"/>
        <v>0</v>
      </c>
      <c r="O53" s="1">
        <f t="shared" si="16"/>
        <v>0</v>
      </c>
      <c r="P53" s="1">
        <f t="shared" si="16"/>
        <v>0</v>
      </c>
      <c r="Q53" s="1">
        <f t="shared" si="16"/>
        <v>0</v>
      </c>
      <c r="R53" s="1">
        <f t="shared" si="16"/>
        <v>6</v>
      </c>
      <c r="S53" s="1">
        <f t="shared" si="16"/>
        <v>39</v>
      </c>
      <c r="T53" s="1">
        <f t="shared" si="16"/>
        <v>39</v>
      </c>
    </row>
    <row r="54" spans="1:20" ht="12.75">
      <c r="A54" t="s">
        <v>4</v>
      </c>
      <c r="C54" s="11"/>
      <c r="D54" s="11"/>
      <c r="E54" s="12"/>
      <c r="F54" s="1">
        <f aca="true" t="shared" si="17" ref="F54:T54">F50+F53</f>
        <v>6</v>
      </c>
      <c r="G54" s="1">
        <f t="shared" si="17"/>
        <v>39</v>
      </c>
      <c r="H54" s="1">
        <f t="shared" si="17"/>
        <v>39</v>
      </c>
      <c r="I54" s="1">
        <f t="shared" si="17"/>
        <v>6</v>
      </c>
      <c r="J54" s="1">
        <f t="shared" si="17"/>
        <v>39</v>
      </c>
      <c r="K54" s="1">
        <f t="shared" si="17"/>
        <v>40.072500000000005</v>
      </c>
      <c r="L54" s="1">
        <f t="shared" si="17"/>
        <v>18</v>
      </c>
      <c r="M54" s="1">
        <f t="shared" si="17"/>
        <v>98</v>
      </c>
      <c r="N54" s="1">
        <f t="shared" si="17"/>
        <v>103.488</v>
      </c>
      <c r="O54" s="1">
        <f t="shared" si="17"/>
        <v>18</v>
      </c>
      <c r="P54" s="1">
        <f t="shared" si="17"/>
        <v>98</v>
      </c>
      <c r="Q54" s="1">
        <f t="shared" si="17"/>
        <v>106.33</v>
      </c>
      <c r="R54" s="1">
        <f t="shared" si="17"/>
        <v>48</v>
      </c>
      <c r="S54" s="1">
        <f t="shared" si="17"/>
        <v>274</v>
      </c>
      <c r="T54" s="1">
        <f t="shared" si="17"/>
        <v>288.8905</v>
      </c>
    </row>
    <row r="55" spans="3:20" ht="12.75">
      <c r="C55" s="11"/>
      <c r="D55" s="11"/>
      <c r="E55" s="1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12" ht="12.75">
      <c r="A56" t="s">
        <v>50</v>
      </c>
      <c r="F56" s="2"/>
      <c r="H56" s="2"/>
      <c r="J56" s="2"/>
      <c r="L56" s="2"/>
    </row>
    <row r="57" spans="1:20" ht="12.75">
      <c r="A57" t="s">
        <v>88</v>
      </c>
      <c r="B57" t="s">
        <v>186</v>
      </c>
      <c r="C57" t="s">
        <v>89</v>
      </c>
      <c r="D57" t="s">
        <v>90</v>
      </c>
      <c r="E57" t="s">
        <v>91</v>
      </c>
      <c r="F57" s="10" t="s">
        <v>177</v>
      </c>
      <c r="G57" s="14" t="s">
        <v>9</v>
      </c>
      <c r="H57" s="14" t="s">
        <v>178</v>
      </c>
      <c r="I57" s="10" t="s">
        <v>177</v>
      </c>
      <c r="J57" s="14" t="s">
        <v>9</v>
      </c>
      <c r="K57" s="14" t="s">
        <v>178</v>
      </c>
      <c r="L57" s="10" t="s">
        <v>177</v>
      </c>
      <c r="M57" s="14" t="s">
        <v>9</v>
      </c>
      <c r="N57" s="14" t="s">
        <v>178</v>
      </c>
      <c r="O57" s="10" t="s">
        <v>177</v>
      </c>
      <c r="P57" s="14" t="s">
        <v>9</v>
      </c>
      <c r="Q57" s="14" t="s">
        <v>178</v>
      </c>
      <c r="R57" s="10" t="s">
        <v>177</v>
      </c>
      <c r="S57" s="14" t="s">
        <v>9</v>
      </c>
      <c r="T57" s="14" t="s">
        <v>178</v>
      </c>
    </row>
    <row r="58" spans="1:20" ht="12.75">
      <c r="A58" s="21" t="str">
        <f>Staff!$A$13</f>
        <v>New RA-3</v>
      </c>
      <c r="B58" t="s">
        <v>187</v>
      </c>
      <c r="C58" s="11" t="s">
        <v>201</v>
      </c>
      <c r="D58" s="11" t="s">
        <v>204</v>
      </c>
      <c r="E58" s="12" t="s">
        <v>94</v>
      </c>
      <c r="F58" s="8">
        <f>WP2!D5+WP5!D7</f>
        <v>0</v>
      </c>
      <c r="G58" s="15">
        <f>F58*Staff!$D$13</f>
        <v>0</v>
      </c>
      <c r="H58" s="8">
        <f>G58</f>
        <v>0</v>
      </c>
      <c r="I58" s="8">
        <f>WP2!G5+WP5!G7</f>
        <v>0</v>
      </c>
      <c r="J58" s="15">
        <f>I58*Staff!$E$13</f>
        <v>0</v>
      </c>
      <c r="K58" s="8">
        <f>Totals!$C$11*J58</f>
        <v>0</v>
      </c>
      <c r="L58" s="8">
        <f>WP2!J5+WP5!J7</f>
        <v>12</v>
      </c>
      <c r="M58" s="15">
        <f>L58*Staff!$F$13</f>
        <v>44.29252336448598</v>
      </c>
      <c r="N58" s="8">
        <f>Totals!$D$11*M58</f>
        <v>46.7729046728972</v>
      </c>
      <c r="O58" s="8">
        <f>WP2!M5+WP5!M7</f>
        <v>12</v>
      </c>
      <c r="P58" s="15">
        <f>O58*Staff!$G$13</f>
        <v>45.44108537631495</v>
      </c>
      <c r="Q58" s="8">
        <f>Totals!$E$11*P58</f>
        <v>49.30357763330172</v>
      </c>
      <c r="R58" s="8">
        <f aca="true" t="shared" si="18" ref="R58:T61">F58+I58+L58+O58</f>
        <v>24</v>
      </c>
      <c r="S58" s="8">
        <f t="shared" si="18"/>
        <v>89.73360874080093</v>
      </c>
      <c r="T58" s="8">
        <f t="shared" si="18"/>
        <v>96.07648230619893</v>
      </c>
    </row>
    <row r="59" spans="1:20" ht="12.75">
      <c r="A59" s="21" t="str">
        <f>Staff!$A35</f>
        <v>F.Salvatore</v>
      </c>
      <c r="C59" s="11" t="s">
        <v>92</v>
      </c>
      <c r="D59" s="11" t="s">
        <v>204</v>
      </c>
      <c r="E59" s="12" t="s">
        <v>94</v>
      </c>
      <c r="F59" s="8">
        <f>WP1!D31+WP5!D29</f>
        <v>2</v>
      </c>
      <c r="G59" s="15">
        <f>F59*Staff!$D$35</f>
        <v>9.600999999999999</v>
      </c>
      <c r="H59" s="8">
        <f>G59</f>
        <v>9.600999999999999</v>
      </c>
      <c r="I59" s="8">
        <f>WP1!G31+WP5!G29</f>
        <v>2</v>
      </c>
      <c r="J59" s="15">
        <f>I59*Staff!$E$35</f>
        <v>10.008695652173914</v>
      </c>
      <c r="K59" s="8">
        <f>Totals!$C$11*J59</f>
        <v>10.283934782608698</v>
      </c>
      <c r="L59" s="8">
        <f>WP1!J31+WP5!J29</f>
        <v>6</v>
      </c>
      <c r="M59" s="15">
        <f>L59*Staff!$F$35</f>
        <v>30.136448598130833</v>
      </c>
      <c r="N59" s="8">
        <f>Totals!$D$11*M59</f>
        <v>31.824089719626162</v>
      </c>
      <c r="O59" s="8">
        <f>WP1!M31+WP5!M29</f>
        <v>6</v>
      </c>
      <c r="P59" s="15">
        <f>O59*Staff!$G$35</f>
        <v>31.35953555465258</v>
      </c>
      <c r="Q59" s="8">
        <f>Totals!$E$11*P59</f>
        <v>34.02509607679805</v>
      </c>
      <c r="R59" s="8">
        <f t="shared" si="18"/>
        <v>16</v>
      </c>
      <c r="S59" s="8">
        <f t="shared" si="18"/>
        <v>81.10567980495733</v>
      </c>
      <c r="T59" s="8">
        <f t="shared" si="18"/>
        <v>85.7341205790329</v>
      </c>
    </row>
    <row r="60" spans="1:20" ht="12.75">
      <c r="A60" s="21" t="str">
        <f>Staff!$A$33</f>
        <v>G.Boorman</v>
      </c>
      <c r="C60" s="11" t="s">
        <v>93</v>
      </c>
      <c r="D60" s="11" t="s">
        <v>204</v>
      </c>
      <c r="E60" s="12" t="s">
        <v>94</v>
      </c>
      <c r="F60" s="8">
        <f>WP2!D59</f>
        <v>0</v>
      </c>
      <c r="G60" s="15">
        <f>F60*Staff!$D$33</f>
        <v>0</v>
      </c>
      <c r="H60" s="8">
        <f>G60</f>
        <v>0</v>
      </c>
      <c r="I60" s="8">
        <f>WP2!G59</f>
        <v>1</v>
      </c>
      <c r="J60" s="15">
        <f>I60*Staff!$E$33</f>
        <v>4.491787439613527</v>
      </c>
      <c r="K60" s="8">
        <f>Totals!$C$11*J60</f>
        <v>4.6153115942028995</v>
      </c>
      <c r="L60" s="8">
        <f>WP2!J59</f>
        <v>2</v>
      </c>
      <c r="M60" s="15">
        <f>L60*Staff!$F$33</f>
        <v>9.006542056074766</v>
      </c>
      <c r="N60" s="8">
        <f>Totals!$D$11*M60</f>
        <v>9.510908411214952</v>
      </c>
      <c r="O60" s="8">
        <f>WP2!M59</f>
        <v>1</v>
      </c>
      <c r="P60" s="15">
        <f>O60*Staff!$G$33</f>
        <v>4.514754616461238</v>
      </c>
      <c r="Q60" s="8">
        <f>Totals!$E$11*P60</f>
        <v>4.8985087588604435</v>
      </c>
      <c r="R60" s="8">
        <f t="shared" si="18"/>
        <v>4</v>
      </c>
      <c r="S60" s="8">
        <f t="shared" si="18"/>
        <v>18.01308411214953</v>
      </c>
      <c r="T60" s="8">
        <f t="shared" si="18"/>
        <v>19.024728764278297</v>
      </c>
    </row>
    <row r="61" spans="1:20" ht="12.75">
      <c r="A61" s="21" t="str">
        <f>Staff!$A$34</f>
        <v>B.J.Green</v>
      </c>
      <c r="C61" s="11" t="s">
        <v>92</v>
      </c>
      <c r="D61" s="11" t="s">
        <v>204</v>
      </c>
      <c r="E61" s="12" t="s">
        <v>94</v>
      </c>
      <c r="F61" s="8">
        <f>WP2!D60</f>
        <v>1</v>
      </c>
      <c r="G61" s="15">
        <f>F61*Staff!$D$34</f>
        <v>5.878500000000001</v>
      </c>
      <c r="H61" s="8">
        <f>G61</f>
        <v>5.878500000000001</v>
      </c>
      <c r="I61" s="8">
        <f>WP2!G60</f>
        <v>2</v>
      </c>
      <c r="J61" s="15">
        <f>I61*Staff!$E$34</f>
        <v>11.770048309178744</v>
      </c>
      <c r="K61" s="8">
        <f>Totals!$C$11*J61</f>
        <v>12.093724637681161</v>
      </c>
      <c r="L61" s="8">
        <f>WP2!J60</f>
        <v>2</v>
      </c>
      <c r="M61" s="15">
        <f>L61*Staff!$F$34</f>
        <v>11.797196261682243</v>
      </c>
      <c r="N61" s="8">
        <f>Totals!$D$11*M61</f>
        <v>12.45783925233645</v>
      </c>
      <c r="O61" s="8">
        <f>WP2!M60</f>
        <v>1</v>
      </c>
      <c r="P61" s="15">
        <f>O61*Staff!$G$34</f>
        <v>5.905122285430492</v>
      </c>
      <c r="Q61" s="8">
        <f>Totals!$E$11*P61</f>
        <v>6.407057679692084</v>
      </c>
      <c r="R61" s="8">
        <f t="shared" si="18"/>
        <v>6</v>
      </c>
      <c r="S61" s="8">
        <f t="shared" si="18"/>
        <v>35.35086685629148</v>
      </c>
      <c r="T61" s="8">
        <f t="shared" si="18"/>
        <v>36.837121569709694</v>
      </c>
    </row>
    <row r="62" spans="1:20" ht="12.75">
      <c r="A62" s="21" t="s">
        <v>188</v>
      </c>
      <c r="C62" s="11"/>
      <c r="D62" s="11"/>
      <c r="E62" s="12"/>
      <c r="F62" s="1">
        <f aca="true" t="shared" si="19" ref="F62:T62">SUM(F59:F61)</f>
        <v>3</v>
      </c>
      <c r="G62" s="1">
        <f t="shared" si="19"/>
        <v>15.4795</v>
      </c>
      <c r="H62" s="1">
        <f t="shared" si="19"/>
        <v>15.4795</v>
      </c>
      <c r="I62" s="1">
        <f t="shared" si="19"/>
        <v>5</v>
      </c>
      <c r="J62" s="1">
        <f t="shared" si="19"/>
        <v>26.270531400966185</v>
      </c>
      <c r="K62" s="1">
        <f t="shared" si="19"/>
        <v>26.99297101449276</v>
      </c>
      <c r="L62" s="1">
        <f t="shared" si="19"/>
        <v>10</v>
      </c>
      <c r="M62" s="1">
        <f t="shared" si="19"/>
        <v>50.94018691588784</v>
      </c>
      <c r="N62" s="1">
        <f t="shared" si="19"/>
        <v>53.79283738317756</v>
      </c>
      <c r="O62" s="1">
        <f t="shared" si="19"/>
        <v>8</v>
      </c>
      <c r="P62" s="1">
        <f t="shared" si="19"/>
        <v>41.779412456544314</v>
      </c>
      <c r="Q62" s="1">
        <f t="shared" si="19"/>
        <v>45.33066251535058</v>
      </c>
      <c r="R62" s="1">
        <f t="shared" si="19"/>
        <v>26</v>
      </c>
      <c r="S62" s="1">
        <f t="shared" si="19"/>
        <v>134.46963077339834</v>
      </c>
      <c r="T62" s="1">
        <f t="shared" si="19"/>
        <v>141.5959709130209</v>
      </c>
    </row>
    <row r="63" spans="1:20" ht="12.75">
      <c r="A63" t="s">
        <v>4</v>
      </c>
      <c r="C63" s="11"/>
      <c r="D63" s="11"/>
      <c r="E63" s="12"/>
      <c r="F63" s="1">
        <f aca="true" t="shared" si="20" ref="F63:T63">F58+F62</f>
        <v>3</v>
      </c>
      <c r="G63" s="1">
        <f t="shared" si="20"/>
        <v>15.4795</v>
      </c>
      <c r="H63" s="1">
        <f t="shared" si="20"/>
        <v>15.4795</v>
      </c>
      <c r="I63" s="1">
        <f t="shared" si="20"/>
        <v>5</v>
      </c>
      <c r="J63" s="1">
        <f t="shared" si="20"/>
        <v>26.270531400966185</v>
      </c>
      <c r="K63" s="1">
        <f t="shared" si="20"/>
        <v>26.99297101449276</v>
      </c>
      <c r="L63" s="1">
        <f t="shared" si="20"/>
        <v>22</v>
      </c>
      <c r="M63" s="1">
        <f t="shared" si="20"/>
        <v>95.23271028037382</v>
      </c>
      <c r="N63" s="1">
        <f t="shared" si="20"/>
        <v>100.56574205607475</v>
      </c>
      <c r="O63" s="1">
        <f t="shared" si="20"/>
        <v>20</v>
      </c>
      <c r="P63" s="1">
        <f t="shared" si="20"/>
        <v>87.22049783285927</v>
      </c>
      <c r="Q63" s="1">
        <f t="shared" si="20"/>
        <v>94.63424014865231</v>
      </c>
      <c r="R63" s="1">
        <f t="shared" si="20"/>
        <v>50</v>
      </c>
      <c r="S63" s="1">
        <f t="shared" si="20"/>
        <v>224.20323951419925</v>
      </c>
      <c r="T63" s="1">
        <f t="shared" si="20"/>
        <v>237.67245321921982</v>
      </c>
    </row>
    <row r="64" spans="3:20" ht="12.75">
      <c r="C64" s="11"/>
      <c r="D64" s="11"/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12" ht="12.75">
      <c r="A65" t="s">
        <v>48</v>
      </c>
      <c r="F65" s="2"/>
      <c r="H65" s="2"/>
      <c r="J65" s="2"/>
      <c r="L65" s="2"/>
    </row>
    <row r="66" spans="1:20" ht="12.75">
      <c r="A66" t="s">
        <v>88</v>
      </c>
      <c r="B66" t="s">
        <v>186</v>
      </c>
      <c r="C66" t="s">
        <v>89</v>
      </c>
      <c r="D66" t="s">
        <v>90</v>
      </c>
      <c r="E66" t="s">
        <v>91</v>
      </c>
      <c r="F66" s="10" t="s">
        <v>177</v>
      </c>
      <c r="G66" s="14" t="s">
        <v>9</v>
      </c>
      <c r="H66" s="14" t="s">
        <v>178</v>
      </c>
      <c r="I66" s="10" t="s">
        <v>177</v>
      </c>
      <c r="J66" s="14" t="s">
        <v>9</v>
      </c>
      <c r="K66" s="14" t="s">
        <v>178</v>
      </c>
      <c r="L66" s="10" t="s">
        <v>177</v>
      </c>
      <c r="M66" s="14" t="s">
        <v>9</v>
      </c>
      <c r="N66" s="14" t="s">
        <v>178</v>
      </c>
      <c r="O66" s="10" t="s">
        <v>177</v>
      </c>
      <c r="P66" s="14" t="s">
        <v>9</v>
      </c>
      <c r="Q66" s="14" t="s">
        <v>178</v>
      </c>
      <c r="R66" s="10" t="s">
        <v>177</v>
      </c>
      <c r="S66" s="14" t="s">
        <v>9</v>
      </c>
      <c r="T66" s="14" t="s">
        <v>178</v>
      </c>
    </row>
    <row r="67" spans="1:20" ht="12.75">
      <c r="A67" s="21" t="str">
        <f>Staff!$A$14</f>
        <v>New RA-4</v>
      </c>
      <c r="B67" t="s">
        <v>187</v>
      </c>
      <c r="C67" s="11" t="s">
        <v>199</v>
      </c>
      <c r="D67" s="11" t="s">
        <v>203</v>
      </c>
      <c r="E67" s="12" t="s">
        <v>94</v>
      </c>
      <c r="F67" s="8">
        <f>WP1!D7+WP2!D6+WP5!D8</f>
        <v>4</v>
      </c>
      <c r="G67" s="15">
        <f>F67*Staff!$D$14</f>
        <v>14.166666666666666</v>
      </c>
      <c r="H67" s="8">
        <f>G67</f>
        <v>14.166666666666666</v>
      </c>
      <c r="I67" s="8">
        <f>WP1!G7+WP2!G6+WP5!G8</f>
        <v>12</v>
      </c>
      <c r="J67" s="15">
        <f>I67*Staff!$E$14</f>
        <v>44</v>
      </c>
      <c r="K67" s="8">
        <f>Totals!$C$11*J67</f>
        <v>45.21</v>
      </c>
      <c r="L67" s="8">
        <f>WP1!J7+WP2!J6+WP5!J8</f>
        <v>12</v>
      </c>
      <c r="M67" s="15">
        <f>L67*Staff!$F$14</f>
        <v>46</v>
      </c>
      <c r="N67" s="8">
        <f>Totals!$D$11*M67</f>
        <v>48.576</v>
      </c>
      <c r="O67" s="8">
        <f>WP1!M7+WP2!M6+WP5!M8</f>
        <v>8</v>
      </c>
      <c r="P67" s="15">
        <f>O67*Staff!$G$14</f>
        <v>31.666666666666668</v>
      </c>
      <c r="Q67" s="8">
        <f>Totals!$E$11*P67</f>
        <v>34.358333333333334</v>
      </c>
      <c r="R67" s="8">
        <f aca="true" t="shared" si="21" ref="R67:T69">F67+I67+L67+O67</f>
        <v>36</v>
      </c>
      <c r="S67" s="8">
        <f t="shared" si="21"/>
        <v>135.83333333333331</v>
      </c>
      <c r="T67" s="8">
        <f t="shared" si="21"/>
        <v>142.31099999999998</v>
      </c>
    </row>
    <row r="68" spans="1:20" ht="12.75">
      <c r="A68" s="21" t="str">
        <f>Staff!$A$37</f>
        <v>M.Warren</v>
      </c>
      <c r="C68" s="11" t="s">
        <v>92</v>
      </c>
      <c r="D68" s="11" t="s">
        <v>204</v>
      </c>
      <c r="E68" s="12" t="s">
        <v>94</v>
      </c>
      <c r="F68" s="8">
        <f>WP1!D32+WP2!D62</f>
        <v>3</v>
      </c>
      <c r="G68" s="15">
        <f>F68*Staff!$D$37</f>
        <v>13.819</v>
      </c>
      <c r="H68" s="8">
        <f>G68</f>
        <v>13.819</v>
      </c>
      <c r="I68" s="8">
        <f>WP1!G32+WP2!G62</f>
        <v>6</v>
      </c>
      <c r="J68" s="15">
        <f>I68*Staff!$E$37</f>
        <v>27.9775</v>
      </c>
      <c r="K68" s="8">
        <f>Totals!$C$11*J68</f>
        <v>28.74688125</v>
      </c>
      <c r="L68" s="8">
        <f>WP1!J32+WP2!J62</f>
        <v>6</v>
      </c>
      <c r="M68" s="15">
        <f>L68*Staff!$F$37</f>
        <v>29.842</v>
      </c>
      <c r="N68" s="8">
        <f>Totals!$D$11*M68</f>
        <v>31.513152</v>
      </c>
      <c r="O68" s="8">
        <f>WP1!M32+WP2!M62</f>
        <v>3</v>
      </c>
      <c r="P68" s="15">
        <f>O68*Staff!$G$37</f>
        <v>15.090750000000002</v>
      </c>
      <c r="Q68" s="8">
        <f>Totals!$E$11*P68</f>
        <v>16.373463750000003</v>
      </c>
      <c r="R68" s="8">
        <f t="shared" si="21"/>
        <v>18</v>
      </c>
      <c r="S68" s="8">
        <f t="shared" si="21"/>
        <v>86.72925</v>
      </c>
      <c r="T68" s="8">
        <f t="shared" si="21"/>
        <v>90.45249700000001</v>
      </c>
    </row>
    <row r="69" spans="1:20" ht="12.75">
      <c r="A69" s="21" t="str">
        <f>Staff!$A$36</f>
        <v>M.Postranecky</v>
      </c>
      <c r="C69" s="11" t="s">
        <v>92</v>
      </c>
      <c r="D69" s="11" t="s">
        <v>204</v>
      </c>
      <c r="E69" s="12" t="s">
        <v>94</v>
      </c>
      <c r="F69" s="8">
        <f>WP2!D61</f>
        <v>2</v>
      </c>
      <c r="G69" s="15">
        <f>F69*Staff!$D$36</f>
        <v>10.2675</v>
      </c>
      <c r="H69" s="8">
        <f>G69</f>
        <v>10.2675</v>
      </c>
      <c r="I69" s="8">
        <f>WP2!G61</f>
        <v>4</v>
      </c>
      <c r="J69" s="15">
        <f>I69*Staff!$E$36</f>
        <v>20.535</v>
      </c>
      <c r="K69" s="8">
        <f>Totals!$C$11*J69</f>
        <v>21.099712500000003</v>
      </c>
      <c r="L69" s="8">
        <f>WP2!J61</f>
        <v>6</v>
      </c>
      <c r="M69" s="15">
        <f>L69*Staff!$F$36</f>
        <v>34.224</v>
      </c>
      <c r="N69" s="8">
        <f>Totals!$D$11*M69</f>
        <v>36.140544</v>
      </c>
      <c r="O69" s="8">
        <f>WP2!M61</f>
        <v>3</v>
      </c>
      <c r="P69" s="15">
        <f>O69*Staff!$G$36</f>
        <v>17.112</v>
      </c>
      <c r="Q69" s="8">
        <f>Totals!$E$11*P69</f>
        <v>18.566519999999997</v>
      </c>
      <c r="R69" s="8">
        <f t="shared" si="21"/>
        <v>15</v>
      </c>
      <c r="S69" s="8">
        <f t="shared" si="21"/>
        <v>82.1385</v>
      </c>
      <c r="T69" s="8">
        <f t="shared" si="21"/>
        <v>86.0742765</v>
      </c>
    </row>
    <row r="70" spans="1:20" ht="12.75">
      <c r="A70" s="21" t="s">
        <v>188</v>
      </c>
      <c r="C70" s="11"/>
      <c r="D70" s="11"/>
      <c r="E70" s="12"/>
      <c r="F70" s="8">
        <f aca="true" t="shared" si="22" ref="F70:T70">SUM(F68:F69)</f>
        <v>5</v>
      </c>
      <c r="G70" s="8">
        <f t="shared" si="22"/>
        <v>24.0865</v>
      </c>
      <c r="H70" s="8">
        <f t="shared" si="22"/>
        <v>24.0865</v>
      </c>
      <c r="I70" s="8">
        <f t="shared" si="22"/>
        <v>10</v>
      </c>
      <c r="J70" s="8">
        <f t="shared" si="22"/>
        <v>48.5125</v>
      </c>
      <c r="K70" s="8">
        <f t="shared" si="22"/>
        <v>49.846593750000004</v>
      </c>
      <c r="L70" s="8">
        <f t="shared" si="22"/>
        <v>12</v>
      </c>
      <c r="M70" s="8">
        <f t="shared" si="22"/>
        <v>64.066</v>
      </c>
      <c r="N70" s="8">
        <f t="shared" si="22"/>
        <v>67.653696</v>
      </c>
      <c r="O70" s="8">
        <f t="shared" si="22"/>
        <v>6</v>
      </c>
      <c r="P70" s="8">
        <f t="shared" si="22"/>
        <v>32.20275</v>
      </c>
      <c r="Q70" s="8">
        <f t="shared" si="22"/>
        <v>34.939983749999996</v>
      </c>
      <c r="R70" s="8">
        <f t="shared" si="22"/>
        <v>33</v>
      </c>
      <c r="S70" s="8">
        <f t="shared" si="22"/>
        <v>168.86775</v>
      </c>
      <c r="T70" s="8">
        <f t="shared" si="22"/>
        <v>176.5267735</v>
      </c>
    </row>
    <row r="71" spans="1:20" ht="12.75">
      <c r="A71" t="s">
        <v>4</v>
      </c>
      <c r="C71" s="11"/>
      <c r="D71" s="11"/>
      <c r="E71" s="12"/>
      <c r="F71" s="1">
        <f aca="true" t="shared" si="23" ref="F71:T71">F67+F70</f>
        <v>9</v>
      </c>
      <c r="G71" s="1">
        <f t="shared" si="23"/>
        <v>38.253166666666665</v>
      </c>
      <c r="H71" s="1">
        <f t="shared" si="23"/>
        <v>38.253166666666665</v>
      </c>
      <c r="I71" s="1">
        <f t="shared" si="23"/>
        <v>22</v>
      </c>
      <c r="J71" s="1">
        <f t="shared" si="23"/>
        <v>92.5125</v>
      </c>
      <c r="K71" s="1">
        <f t="shared" si="23"/>
        <v>95.05659375</v>
      </c>
      <c r="L71" s="1">
        <f t="shared" si="23"/>
        <v>24</v>
      </c>
      <c r="M71" s="1">
        <f t="shared" si="23"/>
        <v>110.066</v>
      </c>
      <c r="N71" s="1">
        <f t="shared" si="23"/>
        <v>116.22969599999999</v>
      </c>
      <c r="O71" s="1">
        <f t="shared" si="23"/>
        <v>14</v>
      </c>
      <c r="P71" s="1">
        <f t="shared" si="23"/>
        <v>63.869416666666666</v>
      </c>
      <c r="Q71" s="1">
        <f t="shared" si="23"/>
        <v>69.29831708333333</v>
      </c>
      <c r="R71" s="1">
        <f t="shared" si="23"/>
        <v>69</v>
      </c>
      <c r="S71" s="1">
        <f t="shared" si="23"/>
        <v>304.7010833333333</v>
      </c>
      <c r="T71" s="1">
        <f t="shared" si="23"/>
        <v>318.83777349999997</v>
      </c>
    </row>
    <row r="72" spans="3:20" ht="12.75">
      <c r="C72" s="11"/>
      <c r="D72" s="11"/>
      <c r="E72" s="1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t="s">
        <v>164</v>
      </c>
      <c r="F73" s="1">
        <f aca="true" t="shared" si="24" ref="F73:T73">F4+F12+F21+F43+F50+F58+F67</f>
        <v>32</v>
      </c>
      <c r="G73" s="1">
        <f t="shared" si="24"/>
        <v>126.45035666666668</v>
      </c>
      <c r="H73" s="1">
        <f t="shared" si="24"/>
        <v>126.45035666666668</v>
      </c>
      <c r="I73" s="1">
        <f t="shared" si="24"/>
        <v>67</v>
      </c>
      <c r="J73" s="1">
        <f t="shared" si="24"/>
        <v>296.34286</v>
      </c>
      <c r="K73" s="1">
        <f t="shared" si="24"/>
        <v>304.49228865</v>
      </c>
      <c r="L73" s="1">
        <f t="shared" si="24"/>
        <v>91</v>
      </c>
      <c r="M73" s="1">
        <f t="shared" si="24"/>
        <v>409.689043364486</v>
      </c>
      <c r="N73" s="1">
        <f t="shared" si="24"/>
        <v>432.63162979289723</v>
      </c>
      <c r="O73" s="1">
        <f t="shared" si="24"/>
        <v>60</v>
      </c>
      <c r="P73" s="1">
        <f t="shared" si="24"/>
        <v>290.51450204298163</v>
      </c>
      <c r="Q73" s="1">
        <f t="shared" si="24"/>
        <v>315.20823471663505</v>
      </c>
      <c r="R73" s="1">
        <f t="shared" si="24"/>
        <v>250</v>
      </c>
      <c r="S73" s="1">
        <f t="shared" si="24"/>
        <v>1122.9967620741343</v>
      </c>
      <c r="T73" s="1">
        <f t="shared" si="24"/>
        <v>1178.7825098261987</v>
      </c>
    </row>
    <row r="74" spans="1:20" ht="12.75">
      <c r="A74" s="21" t="s">
        <v>191</v>
      </c>
      <c r="F74" s="1">
        <f aca="true" t="shared" si="25" ref="F74:T74">F7+F16+F25+F37+F53+F62+F70</f>
        <v>26</v>
      </c>
      <c r="G74" s="1">
        <f t="shared" si="25"/>
        <v>134.668795</v>
      </c>
      <c r="H74" s="1">
        <f t="shared" si="25"/>
        <v>134.668795</v>
      </c>
      <c r="I74" s="1">
        <f t="shared" si="25"/>
        <v>32</v>
      </c>
      <c r="J74" s="1">
        <f t="shared" si="25"/>
        <v>155.80921973429952</v>
      </c>
      <c r="K74" s="1">
        <f t="shared" si="25"/>
        <v>160.09397327699278</v>
      </c>
      <c r="L74" s="1">
        <f t="shared" si="25"/>
        <v>56</v>
      </c>
      <c r="M74" s="1">
        <f t="shared" si="25"/>
        <v>291.23923358255445</v>
      </c>
      <c r="N74" s="1">
        <f t="shared" si="25"/>
        <v>307.54863066317756</v>
      </c>
      <c r="O74" s="1">
        <f t="shared" si="25"/>
        <v>43</v>
      </c>
      <c r="P74" s="1">
        <f t="shared" si="25"/>
        <v>233.7293324565443</v>
      </c>
      <c r="Q74" s="1">
        <f t="shared" si="25"/>
        <v>253.5963257153506</v>
      </c>
      <c r="R74" s="1">
        <f t="shared" si="25"/>
        <v>157</v>
      </c>
      <c r="S74" s="1">
        <f t="shared" si="25"/>
        <v>815.4465807733983</v>
      </c>
      <c r="T74" s="1">
        <f t="shared" si="25"/>
        <v>855.9077246555208</v>
      </c>
    </row>
    <row r="75" spans="1:20" ht="12.75">
      <c r="A75" t="s">
        <v>4</v>
      </c>
      <c r="F75" s="1">
        <f aca="true" t="shared" si="26" ref="F75:T75">SUM(F73:F74)</f>
        <v>58</v>
      </c>
      <c r="G75" s="1">
        <f t="shared" si="26"/>
        <v>261.11915166666665</v>
      </c>
      <c r="H75" s="1">
        <f t="shared" si="26"/>
        <v>261.11915166666665</v>
      </c>
      <c r="I75" s="1">
        <f t="shared" si="26"/>
        <v>99</v>
      </c>
      <c r="J75" s="1">
        <f t="shared" si="26"/>
        <v>452.1520797342995</v>
      </c>
      <c r="K75" s="1">
        <f t="shared" si="26"/>
        <v>464.58626192699273</v>
      </c>
      <c r="L75" s="1">
        <f t="shared" si="26"/>
        <v>147</v>
      </c>
      <c r="M75" s="1">
        <f t="shared" si="26"/>
        <v>700.9282769470404</v>
      </c>
      <c r="N75" s="1">
        <f t="shared" si="26"/>
        <v>740.1802604560748</v>
      </c>
      <c r="O75" s="1">
        <f t="shared" si="26"/>
        <v>103</v>
      </c>
      <c r="P75" s="1">
        <f t="shared" si="26"/>
        <v>524.243834499526</v>
      </c>
      <c r="Q75" s="1">
        <f t="shared" si="26"/>
        <v>568.8045604319857</v>
      </c>
      <c r="R75" s="1">
        <f t="shared" si="26"/>
        <v>407</v>
      </c>
      <c r="S75" s="1">
        <f t="shared" si="26"/>
        <v>1938.4433428475327</v>
      </c>
      <c r="T75" s="1">
        <f t="shared" si="26"/>
        <v>2034.6902344817195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7.57421875" style="0" customWidth="1"/>
    <col min="3" max="17" width="7.7109375" style="0" customWidth="1"/>
  </cols>
  <sheetData>
    <row r="1" spans="3:18" ht="12.75">
      <c r="C1" s="2"/>
      <c r="D1" s="2"/>
      <c r="E1" s="2" t="s">
        <v>1</v>
      </c>
      <c r="F1" s="2"/>
      <c r="H1" s="2" t="s">
        <v>2</v>
      </c>
      <c r="I1" s="2"/>
      <c r="K1" s="2" t="s">
        <v>3</v>
      </c>
      <c r="L1" s="2"/>
      <c r="N1" s="2" t="s">
        <v>176</v>
      </c>
      <c r="O1" s="2" t="s">
        <v>4</v>
      </c>
      <c r="P1" s="2" t="s">
        <v>4</v>
      </c>
      <c r="Q1" s="13" t="s">
        <v>95</v>
      </c>
      <c r="R1" s="2" t="s">
        <v>147</v>
      </c>
    </row>
    <row r="2" spans="1:2" ht="12.75">
      <c r="A2" s="6" t="s">
        <v>96</v>
      </c>
      <c r="B2" s="6"/>
    </row>
    <row r="3" spans="1:17" ht="12.75">
      <c r="A3" t="s">
        <v>16</v>
      </c>
      <c r="B3" t="s">
        <v>187</v>
      </c>
      <c r="C3" s="8">
        <f>'B1'!F4</f>
        <v>6</v>
      </c>
      <c r="D3" s="8">
        <f>'B1'!G4</f>
        <v>19.1406</v>
      </c>
      <c r="E3" s="8">
        <f>'B1'!H4</f>
        <v>19.1406</v>
      </c>
      <c r="F3" s="8">
        <f>'B1'!I4</f>
        <v>12</v>
      </c>
      <c r="G3" s="8">
        <f>'B1'!J4</f>
        <v>39.84048</v>
      </c>
      <c r="H3" s="8">
        <f>'B1'!K4</f>
        <v>40.9360932</v>
      </c>
      <c r="I3" s="8">
        <f>'B1'!L4</f>
        <v>12</v>
      </c>
      <c r="J3" s="8">
        <f>'B1'!M4</f>
        <v>41.88594</v>
      </c>
      <c r="K3" s="8">
        <f>'B1'!N4</f>
        <v>44.23155264</v>
      </c>
      <c r="L3" s="8">
        <f>'B1'!O4</f>
        <v>6</v>
      </c>
      <c r="M3" s="8">
        <f>'B1'!P4</f>
        <v>21.72261</v>
      </c>
      <c r="N3" s="8">
        <f>'B1'!Q4</f>
        <v>23.56903185</v>
      </c>
      <c r="O3" s="8">
        <f>'B1'!R4</f>
        <v>36</v>
      </c>
      <c r="P3" s="8">
        <f>'B1'!S4</f>
        <v>122.58963</v>
      </c>
      <c r="Q3" s="8">
        <f>'B1'!T4</f>
        <v>127.87727769</v>
      </c>
    </row>
    <row r="4" spans="3:17" ht="12.75">
      <c r="C4" s="8">
        <f>'B1'!F7</f>
        <v>0</v>
      </c>
      <c r="D4" s="8">
        <f>'B1'!G7</f>
        <v>0</v>
      </c>
      <c r="E4" s="8">
        <f>'B1'!H7</f>
        <v>0</v>
      </c>
      <c r="F4" s="8">
        <f>'B1'!I7</f>
        <v>0</v>
      </c>
      <c r="G4" s="8">
        <f>'B1'!J7</f>
        <v>0</v>
      </c>
      <c r="H4" s="8">
        <f>'B1'!K7</f>
        <v>0</v>
      </c>
      <c r="I4" s="8">
        <f>'B1'!L7</f>
        <v>3</v>
      </c>
      <c r="J4" s="8">
        <f>'B1'!M7</f>
        <v>14.570678333333333</v>
      </c>
      <c r="K4" s="8">
        <f>'B1'!N7</f>
        <v>15.386636320000001</v>
      </c>
      <c r="L4" s="8">
        <f>'B1'!O7</f>
        <v>4</v>
      </c>
      <c r="M4" s="8">
        <f>'B1'!P7</f>
        <v>17.62074</v>
      </c>
      <c r="N4" s="8">
        <f>'B1'!Q7</f>
        <v>19.1185029</v>
      </c>
      <c r="O4" s="8">
        <f>'B1'!R7</f>
        <v>7</v>
      </c>
      <c r="P4" s="8">
        <f>'B1'!S7</f>
        <v>32.19141833333333</v>
      </c>
      <c r="Q4" s="8">
        <f>'B1'!T7</f>
        <v>34.505139220000004</v>
      </c>
    </row>
    <row r="5" spans="1:17" ht="12.75">
      <c r="A5" t="s">
        <v>45</v>
      </c>
      <c r="B5" t="s">
        <v>187</v>
      </c>
      <c r="C5" s="8">
        <f>'B1'!F12</f>
        <v>12</v>
      </c>
      <c r="D5" s="8">
        <f>'B1'!G12</f>
        <v>42.43600000000001</v>
      </c>
      <c r="E5" s="8">
        <f>'B1'!H12</f>
        <v>42.43600000000001</v>
      </c>
      <c r="F5" s="8">
        <f>'B1'!I12</f>
        <v>12</v>
      </c>
      <c r="G5" s="8">
        <f>'B1'!J12</f>
        <v>44.599</v>
      </c>
      <c r="H5" s="8">
        <f>'B1'!K12</f>
        <v>45.825472500000004</v>
      </c>
      <c r="I5" s="8">
        <f>'B1'!L12</f>
        <v>12</v>
      </c>
      <c r="J5" s="8">
        <f>'B1'!M12</f>
        <v>46.35</v>
      </c>
      <c r="K5" s="8">
        <f>'B1'!N12</f>
        <v>48.945600000000006</v>
      </c>
      <c r="L5" s="8">
        <f>'B1'!O12</f>
        <v>0</v>
      </c>
      <c r="M5" s="8">
        <f>'B1'!P12</f>
        <v>0</v>
      </c>
      <c r="N5" s="8">
        <f>'B1'!Q12</f>
        <v>0</v>
      </c>
      <c r="O5" s="8">
        <f>'B1'!R12</f>
        <v>36</v>
      </c>
      <c r="P5" s="8">
        <f>'B1'!S12</f>
        <v>133.385</v>
      </c>
      <c r="Q5" s="8">
        <f>'B1'!T12</f>
        <v>137.2070725</v>
      </c>
    </row>
    <row r="6" spans="3:17" ht="12.75">
      <c r="C6" s="8">
        <f>'B1'!F16</f>
        <v>4</v>
      </c>
      <c r="D6" s="8">
        <f>'B1'!G16</f>
        <v>18.231</v>
      </c>
      <c r="E6" s="8">
        <f>'B1'!H16</f>
        <v>18.231</v>
      </c>
      <c r="F6" s="8">
        <f>'B1'!I16</f>
        <v>7</v>
      </c>
      <c r="G6" s="8">
        <f>'B1'!J16</f>
        <v>28.427999999999997</v>
      </c>
      <c r="H6" s="8">
        <f>'B1'!K16</f>
        <v>29.209770000000006</v>
      </c>
      <c r="I6" s="8">
        <f>'B1'!L16</f>
        <v>9</v>
      </c>
      <c r="J6" s="8">
        <f>'B1'!M16</f>
        <v>38.11</v>
      </c>
      <c r="K6" s="8">
        <f>'B1'!N16</f>
        <v>40.24416</v>
      </c>
      <c r="L6" s="8">
        <f>'B1'!O16</f>
        <v>4</v>
      </c>
      <c r="M6" s="8">
        <f>'B1'!P16</f>
        <v>23.621333333333336</v>
      </c>
      <c r="N6" s="8">
        <f>'B1'!Q16</f>
        <v>25.629146666666667</v>
      </c>
      <c r="O6" s="8">
        <f>'B1'!R16</f>
        <v>24</v>
      </c>
      <c r="P6" s="8">
        <f>'B1'!S16</f>
        <v>108.39033333333333</v>
      </c>
      <c r="Q6" s="8">
        <f>'B1'!T16</f>
        <v>113.31407666666667</v>
      </c>
    </row>
    <row r="7" spans="1:17" ht="12.75">
      <c r="A7" t="s">
        <v>14</v>
      </c>
      <c r="B7" t="s">
        <v>187</v>
      </c>
      <c r="C7" s="8">
        <f>'B1'!F21</f>
        <v>6</v>
      </c>
      <c r="D7" s="8">
        <f>'B1'!G21</f>
        <v>22.74534</v>
      </c>
      <c r="E7" s="8">
        <f>'B1'!H21</f>
        <v>22.74534</v>
      </c>
      <c r="F7" s="8">
        <f>'B1'!I21</f>
        <v>12</v>
      </c>
      <c r="G7" s="8">
        <f>'B1'!J21</f>
        <v>46.72438</v>
      </c>
      <c r="H7" s="8">
        <f>'B1'!K21</f>
        <v>48.00930045</v>
      </c>
      <c r="I7" s="8">
        <f>'B1'!L21</f>
        <v>12</v>
      </c>
      <c r="J7" s="8">
        <f>'B1'!M21</f>
        <v>47.99457999999999</v>
      </c>
      <c r="K7" s="8">
        <f>'B1'!N21</f>
        <v>50.68227647999999</v>
      </c>
      <c r="L7" s="8">
        <f>'B1'!O21</f>
        <v>6</v>
      </c>
      <c r="M7" s="8">
        <f>'B1'!P21</f>
        <v>24.614140000000003</v>
      </c>
      <c r="N7" s="8">
        <f>'B1'!Q21</f>
        <v>26.7063419</v>
      </c>
      <c r="O7" s="8">
        <f>'B1'!R21</f>
        <v>36</v>
      </c>
      <c r="P7" s="8">
        <f>'B1'!S21</f>
        <v>142.07843999999997</v>
      </c>
      <c r="Q7" s="8">
        <f>'B1'!T21</f>
        <v>148.14325883</v>
      </c>
    </row>
    <row r="8" spans="3:17" ht="12.75">
      <c r="C8" s="8">
        <f>'B1'!F25</f>
        <v>1</v>
      </c>
      <c r="D8" s="8">
        <f>'B1'!G25</f>
        <v>4.969961666666666</v>
      </c>
      <c r="E8" s="8">
        <f>'B1'!H25</f>
        <v>4.969961666666666</v>
      </c>
      <c r="F8" s="8">
        <f>'B1'!I25</f>
        <v>2</v>
      </c>
      <c r="G8" s="8">
        <f>'B1'!J25</f>
        <v>12.237354999999999</v>
      </c>
      <c r="H8" s="8">
        <f>'B1'!K25</f>
        <v>12.5738822625</v>
      </c>
      <c r="I8" s="8">
        <f>'B1'!L25</f>
        <v>9</v>
      </c>
      <c r="J8" s="8">
        <f>'B1'!M25</f>
        <v>55.166951666666655</v>
      </c>
      <c r="K8" s="8">
        <f>'B1'!N25</f>
        <v>58.25630096</v>
      </c>
      <c r="L8" s="8">
        <f>'B1'!O25</f>
        <v>9</v>
      </c>
      <c r="M8" s="8">
        <f>'B1'!P25</f>
        <v>54.068179999999984</v>
      </c>
      <c r="N8" s="8">
        <f>'B1'!Q25</f>
        <v>58.66397529999998</v>
      </c>
      <c r="O8" s="8">
        <f>'B1'!R25</f>
        <v>21</v>
      </c>
      <c r="P8" s="8">
        <f>'B1'!S25</f>
        <v>126.4424483333333</v>
      </c>
      <c r="Q8" s="8">
        <f>'B1'!T25</f>
        <v>134.46412018916664</v>
      </c>
    </row>
    <row r="9" spans="1:17" ht="12.75">
      <c r="A9" t="s">
        <v>42</v>
      </c>
      <c r="B9" t="s">
        <v>187</v>
      </c>
      <c r="C9" s="8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3:17" ht="12.75">
      <c r="C10" s="8">
        <f>'B1'!F37</f>
        <v>7</v>
      </c>
      <c r="D10" s="8">
        <f>'B1'!G37</f>
        <v>32.90183333333333</v>
      </c>
      <c r="E10" s="8">
        <f>'B1'!H37</f>
        <v>32.90183333333333</v>
      </c>
      <c r="F10" s="8">
        <f>'B1'!I37</f>
        <v>8</v>
      </c>
      <c r="G10" s="8">
        <f>'B1'!J37</f>
        <v>40.36083333333334</v>
      </c>
      <c r="H10" s="8">
        <f>'B1'!K37</f>
        <v>41.47075625000001</v>
      </c>
      <c r="I10" s="8">
        <f>'B1'!L37</f>
        <v>13</v>
      </c>
      <c r="J10" s="8">
        <f>'B1'!M37</f>
        <v>68.38541666666666</v>
      </c>
      <c r="K10" s="8">
        <f>'B1'!N37</f>
        <v>72.215</v>
      </c>
      <c r="L10" s="8">
        <f>'B1'!O37</f>
        <v>12</v>
      </c>
      <c r="M10" s="8">
        <f>'B1'!P37</f>
        <v>64.43691666666668</v>
      </c>
      <c r="N10" s="8">
        <f>'B1'!Q37</f>
        <v>69.91405458333334</v>
      </c>
      <c r="O10" s="8">
        <f>'B1'!R37</f>
        <v>40</v>
      </c>
      <c r="P10" s="8">
        <f>'B1'!S37</f>
        <v>206.085</v>
      </c>
      <c r="Q10" s="8">
        <f>'B1'!T37</f>
        <v>216.50164416666667</v>
      </c>
    </row>
    <row r="11" spans="1:17" ht="12.75">
      <c r="A11" t="s">
        <v>12</v>
      </c>
      <c r="B11" t="s">
        <v>187</v>
      </c>
      <c r="C11" s="8">
        <f>'B1'!F43</f>
        <v>4</v>
      </c>
      <c r="D11" s="8">
        <f>'B1'!G43</f>
        <v>27.961750000000002</v>
      </c>
      <c r="E11" s="8">
        <f>'B1'!H43</f>
        <v>27.961750000000002</v>
      </c>
      <c r="F11" s="8">
        <f>'B1'!I43</f>
        <v>13</v>
      </c>
      <c r="G11" s="8">
        <f>'B1'!J43</f>
        <v>82.179</v>
      </c>
      <c r="H11" s="8">
        <f>'B1'!K43</f>
        <v>84.4389225</v>
      </c>
      <c r="I11" s="8">
        <f>'B1'!L43</f>
        <v>13</v>
      </c>
      <c r="J11" s="8">
        <f>'B1'!M43</f>
        <v>85.16600000000001</v>
      </c>
      <c r="K11" s="8">
        <f>'B1'!N43</f>
        <v>89.93529600000001</v>
      </c>
      <c r="L11" s="8">
        <f>'B1'!O43</f>
        <v>10</v>
      </c>
      <c r="M11" s="8">
        <f>'B1'!P43</f>
        <v>69.07000000000001</v>
      </c>
      <c r="N11" s="8">
        <f>'B1'!Q43</f>
        <v>74.94095</v>
      </c>
      <c r="O11" s="8">
        <f>'B1'!R43</f>
        <v>40</v>
      </c>
      <c r="P11" s="8">
        <f>'B1'!S43</f>
        <v>264.37675</v>
      </c>
      <c r="Q11" s="8">
        <f>'B1'!T43</f>
        <v>277.2769185</v>
      </c>
    </row>
    <row r="12" spans="3:17" ht="12.75"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ht="12.75">
      <c r="A13" t="s">
        <v>13</v>
      </c>
      <c r="B13" t="s">
        <v>187</v>
      </c>
      <c r="C13" s="8">
        <f>'B1'!F50</f>
        <v>0</v>
      </c>
      <c r="D13" s="8">
        <f>'B1'!G50</f>
        <v>0</v>
      </c>
      <c r="E13" s="8">
        <f>'B1'!H50</f>
        <v>0</v>
      </c>
      <c r="F13" s="8">
        <f>'B1'!I50</f>
        <v>6</v>
      </c>
      <c r="G13" s="8">
        <f>'B1'!J50</f>
        <v>39</v>
      </c>
      <c r="H13" s="8">
        <f>'B1'!K50</f>
        <v>40.072500000000005</v>
      </c>
      <c r="I13" s="8">
        <f>'B1'!L50</f>
        <v>18</v>
      </c>
      <c r="J13" s="8">
        <f>'B1'!M50</f>
        <v>98</v>
      </c>
      <c r="K13" s="8">
        <f>'B1'!N50</f>
        <v>103.488</v>
      </c>
      <c r="L13" s="8">
        <f>'B1'!O50</f>
        <v>18</v>
      </c>
      <c r="M13" s="8">
        <f>'B1'!P50</f>
        <v>98</v>
      </c>
      <c r="N13" s="8">
        <f>'B1'!Q50</f>
        <v>106.33</v>
      </c>
      <c r="O13" s="8">
        <f>'B1'!R50</f>
        <v>42</v>
      </c>
      <c r="P13" s="8">
        <f>'B1'!S50</f>
        <v>235</v>
      </c>
      <c r="Q13" s="8">
        <f>'B1'!T50</f>
        <v>249.89049999999997</v>
      </c>
    </row>
    <row r="14" spans="3:17" ht="12.75">
      <c r="C14" s="8">
        <f>'B1'!F53</f>
        <v>6</v>
      </c>
      <c r="D14" s="8">
        <f>'B1'!G53</f>
        <v>39</v>
      </c>
      <c r="E14" s="8">
        <f>'B1'!H53</f>
        <v>39</v>
      </c>
      <c r="F14" s="8">
        <f>'B1'!I53</f>
        <v>0</v>
      </c>
      <c r="G14" s="8">
        <f>'B1'!J53</f>
        <v>0</v>
      </c>
      <c r="H14" s="8">
        <f>'B1'!K53</f>
        <v>0</v>
      </c>
      <c r="I14" s="8">
        <f>'B1'!L53</f>
        <v>0</v>
      </c>
      <c r="J14" s="8">
        <f>'B1'!M53</f>
        <v>0</v>
      </c>
      <c r="K14" s="8">
        <f>'B1'!N53</f>
        <v>0</v>
      </c>
      <c r="L14" s="8">
        <f>'B1'!O53</f>
        <v>0</v>
      </c>
      <c r="M14" s="8">
        <f>'B1'!P53</f>
        <v>0</v>
      </c>
      <c r="N14" s="8">
        <f>'B1'!Q53</f>
        <v>0</v>
      </c>
      <c r="O14" s="8">
        <f>'B1'!R53</f>
        <v>6</v>
      </c>
      <c r="P14" s="8">
        <f>'B1'!S53</f>
        <v>39</v>
      </c>
      <c r="Q14" s="8">
        <f>'B1'!T53</f>
        <v>39</v>
      </c>
    </row>
    <row r="15" spans="1:17" ht="12.75">
      <c r="A15" t="s">
        <v>50</v>
      </c>
      <c r="B15" t="s">
        <v>187</v>
      </c>
      <c r="C15" s="8">
        <f>'B1'!F58</f>
        <v>0</v>
      </c>
      <c r="D15" s="8">
        <f>'B1'!G58</f>
        <v>0</v>
      </c>
      <c r="E15" s="8">
        <f>'B1'!H58</f>
        <v>0</v>
      </c>
      <c r="F15" s="8">
        <f>'B1'!I58</f>
        <v>0</v>
      </c>
      <c r="G15" s="8">
        <f>'B1'!J58</f>
        <v>0</v>
      </c>
      <c r="H15" s="8">
        <f>'B1'!K58</f>
        <v>0</v>
      </c>
      <c r="I15" s="8">
        <f>'B1'!L58</f>
        <v>12</v>
      </c>
      <c r="J15" s="8">
        <f>'B1'!M58</f>
        <v>44.29252336448598</v>
      </c>
      <c r="K15" s="8">
        <f>'B1'!N58</f>
        <v>46.7729046728972</v>
      </c>
      <c r="L15" s="8">
        <f>'B1'!O58</f>
        <v>12</v>
      </c>
      <c r="M15" s="8">
        <f>'B1'!P58</f>
        <v>45.44108537631495</v>
      </c>
      <c r="N15" s="8">
        <f>'B1'!Q58</f>
        <v>49.30357763330172</v>
      </c>
      <c r="O15" s="8">
        <f>'B1'!R58</f>
        <v>24</v>
      </c>
      <c r="P15" s="8">
        <f>'B1'!S58</f>
        <v>89.73360874080093</v>
      </c>
      <c r="Q15" s="8">
        <f>'B1'!T58</f>
        <v>96.07648230619893</v>
      </c>
    </row>
    <row r="16" spans="3:17" ht="12.75">
      <c r="C16" s="8">
        <f>'B1'!F62</f>
        <v>3</v>
      </c>
      <c r="D16" s="8">
        <f>'B1'!G62</f>
        <v>15.4795</v>
      </c>
      <c r="E16" s="8">
        <f>'B1'!H62</f>
        <v>15.4795</v>
      </c>
      <c r="F16" s="8">
        <f>'B1'!I62</f>
        <v>5</v>
      </c>
      <c r="G16" s="8">
        <f>'B1'!J62</f>
        <v>26.270531400966185</v>
      </c>
      <c r="H16" s="8">
        <f>'B1'!K62</f>
        <v>26.99297101449276</v>
      </c>
      <c r="I16" s="8">
        <f>'B1'!L62</f>
        <v>10</v>
      </c>
      <c r="J16" s="8">
        <f>'B1'!M62</f>
        <v>50.94018691588784</v>
      </c>
      <c r="K16" s="8">
        <f>'B1'!N62</f>
        <v>53.79283738317756</v>
      </c>
      <c r="L16" s="8">
        <f>'B1'!O62</f>
        <v>8</v>
      </c>
      <c r="M16" s="8">
        <f>'B1'!P62</f>
        <v>41.779412456544314</v>
      </c>
      <c r="N16" s="8">
        <f>'B1'!Q62</f>
        <v>45.33066251535058</v>
      </c>
      <c r="O16" s="8">
        <f>'B1'!R62</f>
        <v>26</v>
      </c>
      <c r="P16" s="8">
        <f>'B1'!S62</f>
        <v>134.46963077339834</v>
      </c>
      <c r="Q16" s="8">
        <f>'B1'!T62</f>
        <v>141.5959709130209</v>
      </c>
    </row>
    <row r="17" spans="1:17" ht="12.75">
      <c r="A17" t="s">
        <v>48</v>
      </c>
      <c r="B17" t="s">
        <v>187</v>
      </c>
      <c r="C17" s="8">
        <f>'B1'!F67</f>
        <v>4</v>
      </c>
      <c r="D17" s="8">
        <f>'B1'!G67</f>
        <v>14.166666666666666</v>
      </c>
      <c r="E17" s="8">
        <f>'B1'!H67</f>
        <v>14.166666666666666</v>
      </c>
      <c r="F17" s="8">
        <f>'B1'!I67</f>
        <v>12</v>
      </c>
      <c r="G17" s="8">
        <f>'B1'!J67</f>
        <v>44</v>
      </c>
      <c r="H17" s="8">
        <f>'B1'!K67</f>
        <v>45.21</v>
      </c>
      <c r="I17" s="8">
        <f>'B1'!L67</f>
        <v>12</v>
      </c>
      <c r="J17" s="8">
        <f>'B1'!M67</f>
        <v>46</v>
      </c>
      <c r="K17" s="8">
        <f>'B1'!N67</f>
        <v>48.576</v>
      </c>
      <c r="L17" s="8">
        <f>'B1'!O67</f>
        <v>8</v>
      </c>
      <c r="M17" s="8">
        <f>'B1'!P67</f>
        <v>31.666666666666668</v>
      </c>
      <c r="N17" s="8">
        <f>'B1'!Q67</f>
        <v>34.358333333333334</v>
      </c>
      <c r="O17" s="8">
        <f>'B1'!R67</f>
        <v>36</v>
      </c>
      <c r="P17" s="8">
        <f>'B1'!S67</f>
        <v>135.83333333333331</v>
      </c>
      <c r="Q17" s="8">
        <f>'B1'!T67</f>
        <v>142.31099999999998</v>
      </c>
    </row>
    <row r="18" spans="3:17" ht="12.75">
      <c r="C18" s="8">
        <f>'B1'!F70</f>
        <v>5</v>
      </c>
      <c r="D18" s="8">
        <f>'B1'!G70</f>
        <v>24.0865</v>
      </c>
      <c r="E18" s="8">
        <f>'B1'!H70</f>
        <v>24.0865</v>
      </c>
      <c r="F18" s="8">
        <f>'B1'!I70</f>
        <v>10</v>
      </c>
      <c r="G18" s="8">
        <f>'B1'!J70</f>
        <v>48.5125</v>
      </c>
      <c r="H18" s="8">
        <f>'B1'!K70</f>
        <v>49.846593750000004</v>
      </c>
      <c r="I18" s="8">
        <f>'B1'!L70</f>
        <v>12</v>
      </c>
      <c r="J18" s="8">
        <f>'B1'!M70</f>
        <v>64.066</v>
      </c>
      <c r="K18" s="8">
        <f>'B1'!N70</f>
        <v>67.653696</v>
      </c>
      <c r="L18" s="8">
        <f>'B1'!O70</f>
        <v>6</v>
      </c>
      <c r="M18" s="8">
        <f>'B1'!P70</f>
        <v>32.20275</v>
      </c>
      <c r="N18" s="8">
        <f>'B1'!Q70</f>
        <v>34.939983749999996</v>
      </c>
      <c r="O18" s="8">
        <f>'B1'!R70</f>
        <v>33</v>
      </c>
      <c r="P18" s="8">
        <f>'B1'!S70</f>
        <v>168.86775</v>
      </c>
      <c r="Q18" s="8">
        <f>'B1'!T70</f>
        <v>176.5267735</v>
      </c>
    </row>
    <row r="19" spans="3:7" ht="12.75">
      <c r="C19" s="1"/>
      <c r="D19" s="1"/>
      <c r="E19" s="1"/>
      <c r="F19" s="1"/>
      <c r="G19" s="1"/>
    </row>
    <row r="20" spans="1:2" ht="12.75">
      <c r="A20" s="6" t="s">
        <v>17</v>
      </c>
      <c r="B20" s="6"/>
    </row>
    <row r="21" spans="1:17" ht="12.75">
      <c r="A21" t="s">
        <v>5</v>
      </c>
      <c r="C21" s="1">
        <f>WP1!D11</f>
        <v>0</v>
      </c>
      <c r="D21" s="1">
        <f>WP1!E11</f>
        <v>0</v>
      </c>
      <c r="E21" s="1">
        <f>WP1!F11</f>
        <v>0</v>
      </c>
      <c r="F21" s="1">
        <f>WP1!G11</f>
        <v>0</v>
      </c>
      <c r="G21" s="1">
        <f>WP1!H11</f>
        <v>0</v>
      </c>
      <c r="H21" s="1">
        <f>WP1!I11</f>
        <v>0</v>
      </c>
      <c r="I21" s="1">
        <f>WP1!J11</f>
        <v>0</v>
      </c>
      <c r="J21" s="1">
        <f>WP1!K11</f>
        <v>0</v>
      </c>
      <c r="K21" s="1">
        <f>WP1!L11</f>
        <v>0</v>
      </c>
      <c r="L21" s="1">
        <f>WP1!M11</f>
        <v>0</v>
      </c>
      <c r="M21" s="1">
        <f>WP1!N11</f>
        <v>0</v>
      </c>
      <c r="N21" s="1">
        <f>WP1!O11</f>
        <v>0</v>
      </c>
      <c r="O21" s="1">
        <f>WP1!P11</f>
        <v>0</v>
      </c>
      <c r="P21" s="1">
        <f>WP1!Q11</f>
        <v>0</v>
      </c>
      <c r="Q21" s="1">
        <f>WP1!R11</f>
        <v>0</v>
      </c>
    </row>
    <row r="22" spans="1:17" ht="12.75">
      <c r="A22" t="s">
        <v>6</v>
      </c>
      <c r="C22" s="1">
        <f>WP2!D24</f>
        <v>0</v>
      </c>
      <c r="D22" s="1">
        <f>WP2!E24</f>
        <v>11</v>
      </c>
      <c r="E22" s="1">
        <f>WP2!F24</f>
        <v>11</v>
      </c>
      <c r="F22" s="1">
        <f>WP2!G24</f>
        <v>0</v>
      </c>
      <c r="G22" s="1">
        <f>WP2!H24</f>
        <v>36</v>
      </c>
      <c r="H22" s="1">
        <f>WP2!I24</f>
        <v>36.99</v>
      </c>
      <c r="I22" s="1">
        <f>WP2!J24</f>
        <v>0</v>
      </c>
      <c r="J22" s="1">
        <f>WP2!K24</f>
        <v>51</v>
      </c>
      <c r="K22" s="1">
        <f>WP2!L24</f>
        <v>53.856</v>
      </c>
      <c r="L22" s="1">
        <f>WP2!M24</f>
        <v>0</v>
      </c>
      <c r="M22" s="1">
        <f>WP2!N24</f>
        <v>15</v>
      </c>
      <c r="N22" s="1">
        <f>WP2!O24</f>
        <v>16.275</v>
      </c>
      <c r="O22" s="1">
        <f>WP2!P24</f>
        <v>0</v>
      </c>
      <c r="P22" s="1">
        <f>WP2!Q24</f>
        <v>113</v>
      </c>
      <c r="Q22" s="1">
        <f>WP2!R24</f>
        <v>118.12100000000001</v>
      </c>
    </row>
    <row r="23" spans="1:17" ht="12.75">
      <c r="A23" t="s">
        <v>7</v>
      </c>
      <c r="C23" s="1">
        <f>WP3!D22</f>
        <v>0</v>
      </c>
      <c r="D23" s="1">
        <f>WP3!E22</f>
        <v>0</v>
      </c>
      <c r="E23" s="1">
        <f>WP3!F22</f>
        <v>0</v>
      </c>
      <c r="F23" s="1">
        <f>WP3!G22</f>
        <v>0</v>
      </c>
      <c r="G23" s="1">
        <f>WP3!H22</f>
        <v>3</v>
      </c>
      <c r="H23" s="1">
        <f>WP3!I22</f>
        <v>3.0825000000000005</v>
      </c>
      <c r="I23" s="1">
        <f>WP3!J22</f>
        <v>0</v>
      </c>
      <c r="J23" s="1">
        <f>WP3!K22</f>
        <v>90</v>
      </c>
      <c r="K23" s="1">
        <f>WP3!L22</f>
        <v>95.04</v>
      </c>
      <c r="L23" s="1">
        <f>WP3!M22</f>
        <v>0</v>
      </c>
      <c r="M23" s="1">
        <f>WP3!N22</f>
        <v>100</v>
      </c>
      <c r="N23" s="1">
        <f>WP3!O22</f>
        <v>108.5</v>
      </c>
      <c r="O23" s="1">
        <f>WP3!P22</f>
        <v>0</v>
      </c>
      <c r="P23" s="1">
        <f>WP3!Q22</f>
        <v>193</v>
      </c>
      <c r="Q23" s="1">
        <f>WP3!R22</f>
        <v>206.6225</v>
      </c>
    </row>
    <row r="24" spans="1:17" ht="12.75">
      <c r="A24" t="s">
        <v>8</v>
      </c>
      <c r="C24" s="1">
        <f>WP4!D11</f>
        <v>0</v>
      </c>
      <c r="D24" s="1">
        <f>WP4!E11</f>
        <v>0</v>
      </c>
      <c r="E24" s="1">
        <f>WP4!F11</f>
        <v>0</v>
      </c>
      <c r="F24" s="1">
        <f>WP4!G11</f>
        <v>0</v>
      </c>
      <c r="G24" s="1">
        <f>WP4!H11</f>
        <v>0</v>
      </c>
      <c r="H24" s="1">
        <f>WP4!I11</f>
        <v>0</v>
      </c>
      <c r="I24" s="1">
        <f>WP4!J11</f>
        <v>0</v>
      </c>
      <c r="J24" s="1">
        <f>WP4!K11</f>
        <v>2</v>
      </c>
      <c r="K24" s="1">
        <f>WP4!L11</f>
        <v>2.112</v>
      </c>
      <c r="L24" s="1">
        <f>WP4!M11</f>
        <v>0</v>
      </c>
      <c r="M24" s="1">
        <f>WP4!N11</f>
        <v>16</v>
      </c>
      <c r="N24" s="1">
        <f>WP4!O11</f>
        <v>17.36</v>
      </c>
      <c r="O24" s="1">
        <f>WP4!P11</f>
        <v>0</v>
      </c>
      <c r="P24" s="1">
        <f>WP4!Q11</f>
        <v>18</v>
      </c>
      <c r="Q24" s="1">
        <f>WP4!R11</f>
        <v>19.472</v>
      </c>
    </row>
    <row r="25" spans="1:17" ht="12.75">
      <c r="A25" t="s">
        <v>10</v>
      </c>
      <c r="C25" s="1">
        <f>WP5!D12</f>
        <v>0</v>
      </c>
      <c r="D25" s="1">
        <f>WP5!E12</f>
        <v>0</v>
      </c>
      <c r="E25" s="1">
        <f>WP5!F12</f>
        <v>0</v>
      </c>
      <c r="F25" s="1">
        <f>WP5!G12</f>
        <v>0</v>
      </c>
      <c r="G25" s="1">
        <f>WP5!H12</f>
        <v>0</v>
      </c>
      <c r="H25" s="1">
        <f>WP5!I12</f>
        <v>0</v>
      </c>
      <c r="I25" s="1">
        <f>WP5!J12</f>
        <v>0</v>
      </c>
      <c r="J25" s="1">
        <f>WP5!K12</f>
        <v>0</v>
      </c>
      <c r="K25" s="1">
        <f>WP5!L12</f>
        <v>0</v>
      </c>
      <c r="L25" s="1">
        <f>WP5!M12</f>
        <v>0</v>
      </c>
      <c r="M25" s="1">
        <f>WP5!N12</f>
        <v>0</v>
      </c>
      <c r="N25" s="1">
        <f>WP5!O12</f>
        <v>0</v>
      </c>
      <c r="O25" s="1">
        <f>WP5!P12</f>
        <v>0</v>
      </c>
      <c r="P25" s="1">
        <f>WP5!Q12</f>
        <v>0</v>
      </c>
      <c r="Q25" s="1">
        <f>WP5!R12</f>
        <v>0</v>
      </c>
    </row>
    <row r="26" spans="1:2" ht="12.75">
      <c r="A26" s="6" t="s">
        <v>18</v>
      </c>
      <c r="B26" s="6"/>
    </row>
    <row r="27" spans="1:17" ht="12.75">
      <c r="A27" t="s">
        <v>5</v>
      </c>
      <c r="C27" s="1">
        <f>WP1!D23</f>
        <v>0</v>
      </c>
      <c r="D27" s="1">
        <f>WP1!E23</f>
        <v>34</v>
      </c>
      <c r="E27" s="1">
        <f>WP1!F23</f>
        <v>34</v>
      </c>
      <c r="F27" s="1">
        <f>WP1!G23</f>
        <v>0</v>
      </c>
      <c r="G27" s="1">
        <f>WP1!H23</f>
        <v>54</v>
      </c>
      <c r="H27" s="1">
        <f>WP1!I23</f>
        <v>55.485</v>
      </c>
      <c r="I27" s="1">
        <f>WP1!J23</f>
        <v>0</v>
      </c>
      <c r="J27" s="1">
        <f>WP1!K23</f>
        <v>21</v>
      </c>
      <c r="K27" s="1">
        <f>WP1!L23</f>
        <v>22.176000000000002</v>
      </c>
      <c r="L27" s="1">
        <f>WP1!M23</f>
        <v>0</v>
      </c>
      <c r="M27" s="1">
        <f>WP1!N23</f>
        <v>0</v>
      </c>
      <c r="N27" s="1">
        <f>WP1!O23</f>
        <v>0</v>
      </c>
      <c r="O27" s="1">
        <f>WP1!P23</f>
        <v>0</v>
      </c>
      <c r="P27" s="1">
        <f>WP1!Q23</f>
        <v>109</v>
      </c>
      <c r="Q27" s="1">
        <f>WP1!R23</f>
        <v>111.661</v>
      </c>
    </row>
    <row r="28" spans="1:17" ht="12.75">
      <c r="A28" t="s">
        <v>6</v>
      </c>
      <c r="C28" s="1">
        <f>WP2!D45</f>
        <v>0</v>
      </c>
      <c r="D28" s="1">
        <f>WP2!E45</f>
        <v>6</v>
      </c>
      <c r="E28" s="1">
        <f>WP2!F45</f>
        <v>6</v>
      </c>
      <c r="F28" s="1">
        <f>WP2!G45</f>
        <v>0</v>
      </c>
      <c r="G28" s="1">
        <f>WP2!H45</f>
        <v>6</v>
      </c>
      <c r="H28" s="1">
        <f>WP2!I45</f>
        <v>6.165</v>
      </c>
      <c r="I28" s="1">
        <f>WP2!J45</f>
        <v>0</v>
      </c>
      <c r="J28" s="1">
        <f>WP2!K45</f>
        <v>9</v>
      </c>
      <c r="K28" s="1">
        <f>WP2!L45</f>
        <v>9.504000000000001</v>
      </c>
      <c r="L28" s="1">
        <f>WP2!M45</f>
        <v>0</v>
      </c>
      <c r="M28" s="1">
        <f>WP2!N45</f>
        <v>3</v>
      </c>
      <c r="N28" s="1">
        <f>WP2!O45</f>
        <v>3.255</v>
      </c>
      <c r="O28" s="1">
        <f>WP2!P45</f>
        <v>0</v>
      </c>
      <c r="P28" s="1">
        <f>WP2!Q45</f>
        <v>24</v>
      </c>
      <c r="Q28" s="1">
        <f>WP2!R45</f>
        <v>24.924</v>
      </c>
    </row>
    <row r="29" spans="1:17" ht="12.75">
      <c r="A29" t="s">
        <v>7</v>
      </c>
      <c r="C29" s="1">
        <f>WP3!D38</f>
        <v>0</v>
      </c>
      <c r="D29" s="1">
        <f>WP3!E38</f>
        <v>1</v>
      </c>
      <c r="E29" s="1">
        <f>WP3!F38</f>
        <v>1</v>
      </c>
      <c r="F29" s="1">
        <f>WP3!G38</f>
        <v>0</v>
      </c>
      <c r="G29" s="1">
        <f>WP3!H38</f>
        <v>5</v>
      </c>
      <c r="H29" s="1">
        <f>WP3!I38</f>
        <v>5.1375</v>
      </c>
      <c r="I29" s="1">
        <f>WP3!J38</f>
        <v>0</v>
      </c>
      <c r="J29" s="1">
        <f>WP3!K38</f>
        <v>7</v>
      </c>
      <c r="K29" s="1">
        <f>WP3!L38</f>
        <v>7.392</v>
      </c>
      <c r="L29" s="1">
        <f>WP3!M38</f>
        <v>0</v>
      </c>
      <c r="M29" s="1">
        <f>WP3!N38</f>
        <v>16</v>
      </c>
      <c r="N29" s="1">
        <f>WP3!O38</f>
        <v>17.36</v>
      </c>
      <c r="O29" s="1">
        <f>WP3!P38</f>
        <v>0</v>
      </c>
      <c r="P29" s="1">
        <f>WP3!Q38</f>
        <v>29</v>
      </c>
      <c r="Q29" s="1">
        <f>WP3!R38</f>
        <v>30.889499999999998</v>
      </c>
    </row>
    <row r="30" spans="1:17" ht="12.75">
      <c r="A30" t="s">
        <v>8</v>
      </c>
      <c r="C30" s="1">
        <f>WP4!D24</f>
        <v>0</v>
      </c>
      <c r="D30" s="1">
        <f>WP4!E24</f>
        <v>1</v>
      </c>
      <c r="E30" s="1">
        <f>WP4!F24</f>
        <v>1</v>
      </c>
      <c r="F30" s="1">
        <f>WP4!G24</f>
        <v>0</v>
      </c>
      <c r="G30" s="1">
        <f>WP4!H24</f>
        <v>1</v>
      </c>
      <c r="H30" s="1">
        <f>WP4!I24</f>
        <v>1.0275</v>
      </c>
      <c r="I30" s="1">
        <f>WP4!J24</f>
        <v>0</v>
      </c>
      <c r="J30" s="1">
        <f>WP4!K24</f>
        <v>1</v>
      </c>
      <c r="K30" s="1">
        <f>WP4!L24</f>
        <v>1.056</v>
      </c>
      <c r="L30" s="1">
        <f>WP4!M24</f>
        <v>0</v>
      </c>
      <c r="M30" s="1">
        <f>WP4!N24</f>
        <v>1</v>
      </c>
      <c r="N30" s="1">
        <f>WP4!O24</f>
        <v>1.085</v>
      </c>
      <c r="O30" s="1">
        <f>WP4!P24</f>
        <v>0</v>
      </c>
      <c r="P30" s="1">
        <f>WP4!Q24</f>
        <v>4</v>
      </c>
      <c r="Q30" s="1">
        <f>WP4!R24</f>
        <v>4.1685</v>
      </c>
    </row>
    <row r="31" spans="1:17" ht="12.75">
      <c r="A31" t="s">
        <v>10</v>
      </c>
      <c r="C31" s="1">
        <f>WP5!D22</f>
        <v>0</v>
      </c>
      <c r="D31" s="1">
        <f>WP5!E22</f>
        <v>7</v>
      </c>
      <c r="E31" s="1">
        <f>WP5!F22</f>
        <v>7</v>
      </c>
      <c r="F31" s="1">
        <f>WP5!G22</f>
        <v>0</v>
      </c>
      <c r="G31" s="1">
        <f>WP5!H22</f>
        <v>13</v>
      </c>
      <c r="H31" s="1">
        <f>WP5!I22</f>
        <v>13.357500000000002</v>
      </c>
      <c r="I31" s="1">
        <f>WP5!J22</f>
        <v>0</v>
      </c>
      <c r="J31" s="1">
        <f>WP5!K22</f>
        <v>18</v>
      </c>
      <c r="K31" s="1">
        <f>WP5!L22</f>
        <v>19.008</v>
      </c>
      <c r="L31" s="1">
        <f>WP5!M22</f>
        <v>0</v>
      </c>
      <c r="M31" s="1">
        <f>WP5!N22</f>
        <v>10</v>
      </c>
      <c r="N31" s="1">
        <f>WP5!O22</f>
        <v>10.85</v>
      </c>
      <c r="O31" s="1">
        <f>WP5!P22</f>
        <v>0</v>
      </c>
      <c r="P31" s="1">
        <f>WP5!Q22</f>
        <v>48</v>
      </c>
      <c r="Q31" s="1">
        <f>WP5!R22</f>
        <v>50.2155</v>
      </c>
    </row>
    <row r="32" spans="1:2" ht="12.75">
      <c r="A32" s="6" t="s">
        <v>30</v>
      </c>
      <c r="B32" s="6"/>
    </row>
    <row r="33" spans="1:17" ht="12.75">
      <c r="A33" t="s">
        <v>5</v>
      </c>
      <c r="C33" s="1">
        <f>WP1!D16</f>
        <v>0</v>
      </c>
      <c r="D33" s="1">
        <f>WP1!E16</f>
        <v>6</v>
      </c>
      <c r="E33" s="1">
        <f>WP1!F16</f>
        <v>6</v>
      </c>
      <c r="F33" s="1">
        <f>WP1!G16</f>
        <v>0</v>
      </c>
      <c r="G33" s="1">
        <f>WP1!H16</f>
        <v>5</v>
      </c>
      <c r="H33" s="1">
        <f>WP1!I16</f>
        <v>5.1375</v>
      </c>
      <c r="I33" s="1">
        <f>WP1!J16</f>
        <v>0</v>
      </c>
      <c r="J33" s="1">
        <f>WP1!K16</f>
        <v>0</v>
      </c>
      <c r="K33" s="1">
        <f>WP1!L16</f>
        <v>0</v>
      </c>
      <c r="L33" s="1">
        <f>WP1!M16</f>
        <v>0</v>
      </c>
      <c r="M33" s="1">
        <f>WP1!N16</f>
        <v>0</v>
      </c>
      <c r="N33" s="1">
        <f>WP1!O16</f>
        <v>0</v>
      </c>
      <c r="O33" s="1">
        <f>WP1!P16</f>
        <v>0</v>
      </c>
      <c r="P33" s="1">
        <f>WP1!Q16</f>
        <v>11</v>
      </c>
      <c r="Q33" s="1">
        <f>WP1!R16</f>
        <v>11.1375</v>
      </c>
    </row>
    <row r="34" spans="1:17" ht="12.75">
      <c r="A34" t="s">
        <v>6</v>
      </c>
      <c r="C34" s="1">
        <f>WP2!D39</f>
        <v>0</v>
      </c>
      <c r="D34" s="1">
        <f>WP2!E39</f>
        <v>4</v>
      </c>
      <c r="E34" s="1">
        <f>WP2!F39</f>
        <v>4</v>
      </c>
      <c r="F34" s="1">
        <f>WP2!G39</f>
        <v>0</v>
      </c>
      <c r="G34" s="1">
        <f>WP2!H39</f>
        <v>9</v>
      </c>
      <c r="H34" s="1">
        <f>WP2!I39</f>
        <v>9.2475</v>
      </c>
      <c r="I34" s="1">
        <f>WP2!J39</f>
        <v>0</v>
      </c>
      <c r="J34" s="1">
        <f>WP2!K39</f>
        <v>6</v>
      </c>
      <c r="K34" s="1">
        <f>WP2!L39</f>
        <v>6.336</v>
      </c>
      <c r="L34" s="1">
        <f>WP2!M39</f>
        <v>0</v>
      </c>
      <c r="M34" s="1">
        <f>WP2!N39</f>
        <v>0</v>
      </c>
      <c r="N34" s="1">
        <f>WP2!O39</f>
        <v>0</v>
      </c>
      <c r="O34" s="1">
        <f>WP2!P39</f>
        <v>0</v>
      </c>
      <c r="P34" s="1">
        <f>WP2!Q39</f>
        <v>19</v>
      </c>
      <c r="Q34" s="1">
        <f>WP2!R39</f>
        <v>19.5835</v>
      </c>
    </row>
    <row r="35" spans="1:17" ht="12.75">
      <c r="A35" t="s">
        <v>7</v>
      </c>
      <c r="C35" s="1">
        <f>WP3!D31</f>
        <v>0</v>
      </c>
      <c r="D35" s="1">
        <f>WP3!E31</f>
        <v>2</v>
      </c>
      <c r="E35" s="1">
        <f>WP3!F31</f>
        <v>2</v>
      </c>
      <c r="F35" s="1">
        <f>WP3!G31</f>
        <v>0</v>
      </c>
      <c r="G35" s="1">
        <f>WP3!H31</f>
        <v>1</v>
      </c>
      <c r="H35" s="1">
        <f>WP3!I31</f>
        <v>1.0275</v>
      </c>
      <c r="I35" s="1" t="str">
        <f>WP3!J31</f>
        <v> </v>
      </c>
      <c r="J35" s="1">
        <f>WP3!K31</f>
        <v>9</v>
      </c>
      <c r="K35" s="1">
        <f>WP3!L31</f>
        <v>9.504000000000001</v>
      </c>
      <c r="L35" s="1" t="str">
        <f>WP3!M31</f>
        <v> </v>
      </c>
      <c r="M35" s="1">
        <f>WP3!N31</f>
        <v>43</v>
      </c>
      <c r="N35" s="1">
        <f>WP3!O31</f>
        <v>46.655</v>
      </c>
      <c r="O35" s="1">
        <f>WP3!P31</f>
        <v>0</v>
      </c>
      <c r="P35" s="1">
        <f>WP3!Q31</f>
        <v>55</v>
      </c>
      <c r="Q35" s="1">
        <f>WP3!R31</f>
        <v>59.1865</v>
      </c>
    </row>
    <row r="36" spans="1:17" ht="12.75">
      <c r="A36" t="s">
        <v>8</v>
      </c>
      <c r="C36" s="1">
        <f>WP4!D20</f>
        <v>0</v>
      </c>
      <c r="D36" s="1">
        <f>WP4!E20</f>
        <v>0</v>
      </c>
      <c r="E36" s="1">
        <f>WP4!F20</f>
        <v>0</v>
      </c>
      <c r="F36" s="1">
        <f>WP4!G20</f>
        <v>0</v>
      </c>
      <c r="G36" s="1">
        <f>WP4!H20</f>
        <v>3</v>
      </c>
      <c r="H36" s="1">
        <f>WP4!I20</f>
        <v>3.0825000000000005</v>
      </c>
      <c r="I36" s="1">
        <f>WP4!J20</f>
        <v>0</v>
      </c>
      <c r="J36" s="1">
        <f>WP4!K20</f>
        <v>2</v>
      </c>
      <c r="K36" s="1">
        <f>WP4!L20</f>
        <v>2.112</v>
      </c>
      <c r="L36" s="1">
        <f>WP4!M20</f>
        <v>0</v>
      </c>
      <c r="M36" s="1">
        <f>WP4!N20</f>
        <v>4</v>
      </c>
      <c r="N36" s="1">
        <f>WP4!O20</f>
        <v>4.34</v>
      </c>
      <c r="O36" s="1">
        <f>WP4!P20</f>
        <v>0</v>
      </c>
      <c r="P36" s="1">
        <f>WP4!Q20</f>
        <v>9</v>
      </c>
      <c r="Q36" s="1">
        <f>WP4!R20</f>
        <v>9.534500000000001</v>
      </c>
    </row>
    <row r="37" spans="1:17" ht="12.75">
      <c r="A37" t="s">
        <v>10</v>
      </c>
      <c r="C37" s="1">
        <f>WP5!D17</f>
        <v>0</v>
      </c>
      <c r="D37" s="1">
        <f>WP5!E17</f>
        <v>2</v>
      </c>
      <c r="E37" s="1">
        <f>WP5!F17</f>
        <v>2</v>
      </c>
      <c r="F37" s="1">
        <f>WP5!G17</f>
        <v>0</v>
      </c>
      <c r="G37" s="1">
        <f>WP5!H17</f>
        <v>0</v>
      </c>
      <c r="H37" s="1">
        <f>WP5!I17</f>
        <v>0</v>
      </c>
      <c r="I37" s="1">
        <f>WP5!J17</f>
        <v>0</v>
      </c>
      <c r="J37" s="1">
        <f>WP5!K17</f>
        <v>2</v>
      </c>
      <c r="K37" s="1">
        <f>WP5!L17</f>
        <v>2.112</v>
      </c>
      <c r="L37" s="1">
        <f>WP5!M17</f>
        <v>0</v>
      </c>
      <c r="M37" s="1">
        <f>WP5!N17</f>
        <v>0</v>
      </c>
      <c r="N37" s="1">
        <f>WP5!O17</f>
        <v>0</v>
      </c>
      <c r="O37" s="1">
        <f>WP5!P17</f>
        <v>0</v>
      </c>
      <c r="P37" s="1">
        <f>WP5!Q17</f>
        <v>4</v>
      </c>
      <c r="Q37" s="1">
        <f>WP5!R17</f>
        <v>4.112</v>
      </c>
    </row>
    <row r="38" spans="1:2" ht="12.75">
      <c r="A38" s="6" t="s">
        <v>20</v>
      </c>
      <c r="B38" s="6"/>
    </row>
    <row r="39" spans="1:17" ht="12.75">
      <c r="A39" t="s">
        <v>193</v>
      </c>
      <c r="C39" s="1">
        <f aca="true" t="shared" si="0" ref="C39:Q39">C3+C5+C7+C9+C11+C13+C15+C17</f>
        <v>32</v>
      </c>
      <c r="D39" s="1">
        <f t="shared" si="0"/>
        <v>126.45035666666668</v>
      </c>
      <c r="E39" s="1">
        <f t="shared" si="0"/>
        <v>126.45035666666668</v>
      </c>
      <c r="F39" s="1">
        <f t="shared" si="0"/>
        <v>67</v>
      </c>
      <c r="G39" s="1">
        <f t="shared" si="0"/>
        <v>296.34286</v>
      </c>
      <c r="H39" s="1">
        <f t="shared" si="0"/>
        <v>304.49228865</v>
      </c>
      <c r="I39" s="1">
        <f t="shared" si="0"/>
        <v>91</v>
      </c>
      <c r="J39" s="1">
        <f t="shared" si="0"/>
        <v>409.689043364486</v>
      </c>
      <c r="K39" s="1">
        <f t="shared" si="0"/>
        <v>432.63162979289723</v>
      </c>
      <c r="L39" s="1">
        <f t="shared" si="0"/>
        <v>60</v>
      </c>
      <c r="M39" s="1">
        <f t="shared" si="0"/>
        <v>290.51450204298163</v>
      </c>
      <c r="N39" s="1">
        <f t="shared" si="0"/>
        <v>315.20823471663505</v>
      </c>
      <c r="O39" s="1">
        <f t="shared" si="0"/>
        <v>250</v>
      </c>
      <c r="P39" s="1">
        <f t="shared" si="0"/>
        <v>1122.9967620741343</v>
      </c>
      <c r="Q39" s="1">
        <f t="shared" si="0"/>
        <v>1178.7825098261987</v>
      </c>
    </row>
    <row r="40" spans="1:17" ht="12.75">
      <c r="A40" t="s">
        <v>192</v>
      </c>
      <c r="C40" s="1">
        <f aca="true" t="shared" si="1" ref="C40:Q40">C4+C6+C8+C10+C12+C14+C16+C18</f>
        <v>26</v>
      </c>
      <c r="D40" s="1">
        <f t="shared" si="1"/>
        <v>134.668795</v>
      </c>
      <c r="E40" s="1">
        <f t="shared" si="1"/>
        <v>134.668795</v>
      </c>
      <c r="F40" s="1">
        <f t="shared" si="1"/>
        <v>32</v>
      </c>
      <c r="G40" s="1">
        <f t="shared" si="1"/>
        <v>155.80921973429952</v>
      </c>
      <c r="H40" s="1">
        <f t="shared" si="1"/>
        <v>160.09397327699278</v>
      </c>
      <c r="I40" s="1">
        <f t="shared" si="1"/>
        <v>56</v>
      </c>
      <c r="J40" s="1">
        <f t="shared" si="1"/>
        <v>291.23923358255445</v>
      </c>
      <c r="K40" s="1">
        <f t="shared" si="1"/>
        <v>307.54863066317756</v>
      </c>
      <c r="L40" s="1">
        <f t="shared" si="1"/>
        <v>43</v>
      </c>
      <c r="M40" s="1">
        <f t="shared" si="1"/>
        <v>233.7293324565443</v>
      </c>
      <c r="N40" s="1">
        <f t="shared" si="1"/>
        <v>253.5963257153506</v>
      </c>
      <c r="O40" s="1">
        <f t="shared" si="1"/>
        <v>157</v>
      </c>
      <c r="P40" s="1">
        <f t="shared" si="1"/>
        <v>815.4465807733983</v>
      </c>
      <c r="Q40" s="1">
        <f t="shared" si="1"/>
        <v>855.9077246555208</v>
      </c>
    </row>
    <row r="41" spans="1:17" ht="12.75">
      <c r="A41" t="s">
        <v>17</v>
      </c>
      <c r="C41" s="1">
        <f aca="true" t="shared" si="2" ref="C41:Q41">SUM(C21:C25)</f>
        <v>0</v>
      </c>
      <c r="D41" s="1">
        <f t="shared" si="2"/>
        <v>11</v>
      </c>
      <c r="E41" s="1">
        <f t="shared" si="2"/>
        <v>11</v>
      </c>
      <c r="F41" s="1">
        <f t="shared" si="2"/>
        <v>0</v>
      </c>
      <c r="G41" s="1">
        <f t="shared" si="2"/>
        <v>39</v>
      </c>
      <c r="H41" s="1">
        <f t="shared" si="2"/>
        <v>40.072500000000005</v>
      </c>
      <c r="I41" s="1">
        <f t="shared" si="2"/>
        <v>0</v>
      </c>
      <c r="J41" s="1">
        <f t="shared" si="2"/>
        <v>143</v>
      </c>
      <c r="K41" s="1">
        <f t="shared" si="2"/>
        <v>151.008</v>
      </c>
      <c r="L41" s="1">
        <f t="shared" si="2"/>
        <v>0</v>
      </c>
      <c r="M41" s="1">
        <f t="shared" si="2"/>
        <v>131</v>
      </c>
      <c r="N41" s="1">
        <f t="shared" si="2"/>
        <v>142.135</v>
      </c>
      <c r="O41" s="1">
        <f t="shared" si="2"/>
        <v>0</v>
      </c>
      <c r="P41" s="1">
        <f t="shared" si="2"/>
        <v>324</v>
      </c>
      <c r="Q41" s="1">
        <f t="shared" si="2"/>
        <v>344.2155</v>
      </c>
    </row>
    <row r="42" spans="1:17" ht="12.75">
      <c r="A42" t="s">
        <v>18</v>
      </c>
      <c r="C42" s="1">
        <f aca="true" t="shared" si="3" ref="C42:Q42">SUM(C27:C31)</f>
        <v>0</v>
      </c>
      <c r="D42" s="1">
        <f t="shared" si="3"/>
        <v>49</v>
      </c>
      <c r="E42" s="1">
        <f t="shared" si="3"/>
        <v>49</v>
      </c>
      <c r="F42" s="1">
        <f t="shared" si="3"/>
        <v>0</v>
      </c>
      <c r="G42" s="1">
        <f t="shared" si="3"/>
        <v>79</v>
      </c>
      <c r="H42" s="1">
        <f t="shared" si="3"/>
        <v>81.1725</v>
      </c>
      <c r="I42" s="1">
        <f t="shared" si="3"/>
        <v>0</v>
      </c>
      <c r="J42" s="1">
        <f t="shared" si="3"/>
        <v>56</v>
      </c>
      <c r="K42" s="1">
        <f t="shared" si="3"/>
        <v>59.135999999999996</v>
      </c>
      <c r="L42" s="1">
        <f t="shared" si="3"/>
        <v>0</v>
      </c>
      <c r="M42" s="1">
        <f t="shared" si="3"/>
        <v>30</v>
      </c>
      <c r="N42" s="1">
        <f t="shared" si="3"/>
        <v>32.55</v>
      </c>
      <c r="O42" s="1">
        <f t="shared" si="3"/>
        <v>0</v>
      </c>
      <c r="P42" s="1">
        <f t="shared" si="3"/>
        <v>214</v>
      </c>
      <c r="Q42" s="1">
        <f t="shared" si="3"/>
        <v>221.8585</v>
      </c>
    </row>
    <row r="43" spans="1:17" ht="12.75">
      <c r="A43" t="s">
        <v>30</v>
      </c>
      <c r="C43" s="1">
        <f aca="true" t="shared" si="4" ref="C43:Q43">SUM(C33:C37)</f>
        <v>0</v>
      </c>
      <c r="D43" s="1">
        <f t="shared" si="4"/>
        <v>14</v>
      </c>
      <c r="E43" s="1">
        <f t="shared" si="4"/>
        <v>14</v>
      </c>
      <c r="F43" s="1">
        <f t="shared" si="4"/>
        <v>0</v>
      </c>
      <c r="G43" s="1">
        <f t="shared" si="4"/>
        <v>18</v>
      </c>
      <c r="H43" s="1">
        <f t="shared" si="4"/>
        <v>18.495</v>
      </c>
      <c r="I43" s="1">
        <f t="shared" si="4"/>
        <v>0</v>
      </c>
      <c r="J43" s="1">
        <f t="shared" si="4"/>
        <v>19</v>
      </c>
      <c r="K43" s="1">
        <f t="shared" si="4"/>
        <v>20.064</v>
      </c>
      <c r="L43" s="1">
        <f t="shared" si="4"/>
        <v>0</v>
      </c>
      <c r="M43" s="1">
        <f t="shared" si="4"/>
        <v>47</v>
      </c>
      <c r="N43" s="1">
        <f t="shared" si="4"/>
        <v>50.995000000000005</v>
      </c>
      <c r="O43" s="1">
        <f t="shared" si="4"/>
        <v>0</v>
      </c>
      <c r="P43" s="1">
        <f t="shared" si="4"/>
        <v>98</v>
      </c>
      <c r="Q43" s="1">
        <f t="shared" si="4"/>
        <v>103.554</v>
      </c>
    </row>
    <row r="44" spans="1:17" ht="12.75">
      <c r="A44" s="6" t="s">
        <v>163</v>
      </c>
      <c r="B44" s="6"/>
      <c r="C44" s="1">
        <f aca="true" t="shared" si="5" ref="C44:Q44">SUM(C39:C43)</f>
        <v>58</v>
      </c>
      <c r="D44" s="1">
        <f t="shared" si="5"/>
        <v>335.11915166666665</v>
      </c>
      <c r="E44" s="1">
        <f t="shared" si="5"/>
        <v>335.11915166666665</v>
      </c>
      <c r="F44" s="1">
        <f t="shared" si="5"/>
        <v>99</v>
      </c>
      <c r="G44" s="1">
        <f t="shared" si="5"/>
        <v>588.1520797342995</v>
      </c>
      <c r="H44" s="1">
        <f t="shared" si="5"/>
        <v>604.3262619269927</v>
      </c>
      <c r="I44" s="1">
        <f t="shared" si="5"/>
        <v>147</v>
      </c>
      <c r="J44" s="1">
        <f t="shared" si="5"/>
        <v>918.9282769470404</v>
      </c>
      <c r="K44" s="1">
        <f t="shared" si="5"/>
        <v>970.3882604560748</v>
      </c>
      <c r="L44" s="1">
        <f t="shared" si="5"/>
        <v>103</v>
      </c>
      <c r="M44" s="1">
        <f t="shared" si="5"/>
        <v>732.243834499526</v>
      </c>
      <c r="N44" s="1">
        <f t="shared" si="5"/>
        <v>794.4845604319856</v>
      </c>
      <c r="O44" s="1">
        <f t="shared" si="5"/>
        <v>407</v>
      </c>
      <c r="P44" s="1">
        <f t="shared" si="5"/>
        <v>2574.4433428475327</v>
      </c>
      <c r="Q44" s="1">
        <f t="shared" si="5"/>
        <v>2704.318234481719</v>
      </c>
    </row>
    <row r="45" spans="1:17" ht="12.75">
      <c r="A45" s="6" t="s">
        <v>162</v>
      </c>
      <c r="B45" s="6"/>
      <c r="C45" s="1">
        <f aca="true" t="shared" si="6" ref="C45:Q45">C39+SUM(C41:C43)</f>
        <v>32</v>
      </c>
      <c r="D45" s="1">
        <f t="shared" si="6"/>
        <v>200.45035666666666</v>
      </c>
      <c r="E45" s="1">
        <f t="shared" si="6"/>
        <v>200.45035666666666</v>
      </c>
      <c r="F45" s="1">
        <f t="shared" si="6"/>
        <v>67</v>
      </c>
      <c r="G45" s="1">
        <f t="shared" si="6"/>
        <v>432.34286</v>
      </c>
      <c r="H45" s="1">
        <f t="shared" si="6"/>
        <v>444.23228865</v>
      </c>
      <c r="I45" s="1">
        <f t="shared" si="6"/>
        <v>91</v>
      </c>
      <c r="J45" s="1">
        <f t="shared" si="6"/>
        <v>627.689043364486</v>
      </c>
      <c r="K45" s="1">
        <f t="shared" si="6"/>
        <v>662.8396297928972</v>
      </c>
      <c r="L45" s="1">
        <f t="shared" si="6"/>
        <v>60</v>
      </c>
      <c r="M45" s="1">
        <f t="shared" si="6"/>
        <v>498.51450204298163</v>
      </c>
      <c r="N45" s="1">
        <f t="shared" si="6"/>
        <v>540.888234716635</v>
      </c>
      <c r="O45" s="1">
        <f t="shared" si="6"/>
        <v>250</v>
      </c>
      <c r="P45" s="1">
        <f t="shared" si="6"/>
        <v>1758.9967620741343</v>
      </c>
      <c r="Q45" s="1">
        <f t="shared" si="6"/>
        <v>1848.410509826199</v>
      </c>
    </row>
    <row r="46" spans="1:14" ht="12.75">
      <c r="A46" s="6" t="s">
        <v>194</v>
      </c>
      <c r="E46" s="1">
        <f>E45</f>
        <v>200.45035666666666</v>
      </c>
      <c r="H46" s="1">
        <f>E46+H45</f>
        <v>644.6826453166666</v>
      </c>
      <c r="K46" s="1">
        <f>H46+K45</f>
        <v>1307.522275109564</v>
      </c>
      <c r="N46" s="1">
        <f>K46+N45</f>
        <v>1848.410509826199</v>
      </c>
    </row>
    <row r="47" spans="1:14" ht="12.75">
      <c r="A47" s="6" t="s">
        <v>195</v>
      </c>
      <c r="E47" s="1">
        <f>E46-WP1!F26</f>
        <v>74.72214999999998</v>
      </c>
      <c r="H47" s="1">
        <f>H46-WP1!I26</f>
        <v>396.9339861124999</v>
      </c>
      <c r="K47" s="1">
        <f>K46-WP1!L26</f>
        <v>1033.3740928653972</v>
      </c>
      <c r="N47" s="1">
        <f>N46-WP1!O26</f>
        <v>1574.2623275820322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9.140625" defaultRowHeight="12.75"/>
  <cols>
    <col min="2" max="11" width="12.140625" style="0" customWidth="1"/>
  </cols>
  <sheetData>
    <row r="1" spans="2:11" ht="12.75">
      <c r="B1" s="2" t="s">
        <v>16</v>
      </c>
      <c r="C1" s="2" t="s">
        <v>45</v>
      </c>
      <c r="D1" s="2" t="s">
        <v>14</v>
      </c>
      <c r="E1" s="2" t="s">
        <v>42</v>
      </c>
      <c r="F1" s="2" t="s">
        <v>12</v>
      </c>
      <c r="G1" s="2" t="s">
        <v>13</v>
      </c>
      <c r="H1" s="2" t="s">
        <v>50</v>
      </c>
      <c r="I1" s="2" t="s">
        <v>48</v>
      </c>
      <c r="J1" s="13" t="s">
        <v>97</v>
      </c>
      <c r="K1" s="2" t="s">
        <v>4</v>
      </c>
    </row>
    <row r="2" spans="1:12" ht="12.75">
      <c r="A2" t="s">
        <v>5</v>
      </c>
      <c r="B2" s="20">
        <f>WP1!R4</f>
        <v>9.7915411</v>
      </c>
      <c r="C2" s="20">
        <f>WP1!R5</f>
        <v>65.34873625</v>
      </c>
      <c r="D2" s="20">
        <f>WP1!R30+WP1!R6</f>
        <v>51.942699894166665</v>
      </c>
      <c r="E2" s="20">
        <v>0</v>
      </c>
      <c r="F2" s="20">
        <v>0</v>
      </c>
      <c r="G2" s="20">
        <v>0</v>
      </c>
      <c r="H2" s="20">
        <f>WP1!R31</f>
        <v>9.942467391304348</v>
      </c>
      <c r="I2" s="20">
        <f>WP1!R32+WP1!R7</f>
        <v>38.634146875</v>
      </c>
      <c r="J2" s="20">
        <f>WP1!R11+WP1!R16+WP1!R23</f>
        <v>122.7985</v>
      </c>
      <c r="K2" s="20">
        <f aca="true" t="shared" si="0" ref="K2:K7">SUM(B2:J2)</f>
        <v>298.45809151047104</v>
      </c>
      <c r="L2" s="1"/>
    </row>
    <row r="3" spans="1:12" ht="12.75">
      <c r="A3" t="s">
        <v>6</v>
      </c>
      <c r="B3" s="20">
        <v>0</v>
      </c>
      <c r="C3" s="20">
        <f>WP2!R52+WP2!R53+WP2!R54</f>
        <v>113.31407666666667</v>
      </c>
      <c r="D3" s="20">
        <f>WP2!R4+WP2!R55+WP2!R56</f>
        <v>90.42626726999998</v>
      </c>
      <c r="E3" s="20">
        <f>WP2!R57+WP2!R58</f>
        <v>64.41062645833334</v>
      </c>
      <c r="F3" s="20">
        <v>0</v>
      </c>
      <c r="G3" s="20">
        <v>0</v>
      </c>
      <c r="H3" s="20">
        <f>WP2!R5+WP2!R59+WP2!R60</f>
        <v>103.90009148708745</v>
      </c>
      <c r="I3" s="20">
        <f>WP2!R6+WP2!R61+WP2!R62</f>
        <v>243.311751625</v>
      </c>
      <c r="J3" s="20">
        <f>WP2!R24+WP2!R39+WP2!R45</f>
        <v>162.6285</v>
      </c>
      <c r="K3" s="20">
        <f t="shared" si="0"/>
        <v>777.9913135070874</v>
      </c>
      <c r="L3" s="1"/>
    </row>
    <row r="4" spans="1:12" ht="12.75">
      <c r="A4" t="s">
        <v>7</v>
      </c>
      <c r="B4" s="20">
        <f>WP3!R4+WP3!R45+WP3!R46</f>
        <v>60.24205353000001</v>
      </c>
      <c r="C4" s="20">
        <v>0</v>
      </c>
      <c r="D4" s="20">
        <f>WP3!R5+WP3!R47+WP3!R48+WP3!R49</f>
        <v>111.11446063916665</v>
      </c>
      <c r="E4" s="20">
        <v>0</v>
      </c>
      <c r="F4" s="20">
        <f>WP3!R6+WP3!R7</f>
        <v>277.2769185</v>
      </c>
      <c r="G4" s="20">
        <f>WP3!R8+WP3!R9+WP3!R10+WP3!R50+WP3!R51</f>
        <v>288.8905</v>
      </c>
      <c r="H4" s="20">
        <v>0</v>
      </c>
      <c r="I4" s="20">
        <v>0</v>
      </c>
      <c r="J4" s="20">
        <f>WP3!R22+WP3!R31+WP3!R38</f>
        <v>296.6985</v>
      </c>
      <c r="K4" s="20">
        <f t="shared" si="0"/>
        <v>1034.2224326691667</v>
      </c>
      <c r="L4" s="1"/>
    </row>
    <row r="5" spans="1:12" ht="12.75">
      <c r="A5" t="s">
        <v>8</v>
      </c>
      <c r="B5" s="20">
        <v>0</v>
      </c>
      <c r="C5" s="20">
        <v>0</v>
      </c>
      <c r="D5" s="20">
        <v>0</v>
      </c>
      <c r="E5" s="20">
        <f>WP4!R31+WP4!R32+WP4!R33+WP4!R34+WP4!R35</f>
        <v>152.09101770833334</v>
      </c>
      <c r="F5" s="20">
        <v>0</v>
      </c>
      <c r="G5" s="20">
        <v>0</v>
      </c>
      <c r="H5" s="20">
        <v>0</v>
      </c>
      <c r="I5" s="20">
        <v>0</v>
      </c>
      <c r="J5" s="20">
        <f>WP4!R11+WP4!R20+WP4!R24</f>
        <v>33.175000000000004</v>
      </c>
      <c r="K5" s="20">
        <f t="shared" si="0"/>
        <v>185.26601770833335</v>
      </c>
      <c r="L5" s="1"/>
    </row>
    <row r="6" spans="1:12" ht="12.75">
      <c r="A6" t="s">
        <v>10</v>
      </c>
      <c r="B6" s="20">
        <f>WP5!R4</f>
        <v>92.34882228000001</v>
      </c>
      <c r="C6" s="20">
        <f>WP5!R5</f>
        <v>71.85833625000001</v>
      </c>
      <c r="D6" s="20">
        <f>WP5!R6</f>
        <v>29.123951215833333</v>
      </c>
      <c r="E6" s="20">
        <v>0</v>
      </c>
      <c r="F6" s="20">
        <v>0</v>
      </c>
      <c r="G6" s="20">
        <v>0</v>
      </c>
      <c r="H6" s="20">
        <f>WP5!R7+WP5!R29</f>
        <v>123.82989434082802</v>
      </c>
      <c r="I6" s="20">
        <f>WP5!R8</f>
        <v>36.891875</v>
      </c>
      <c r="J6" s="20">
        <f>WP5!R12+WP5!R17+WP5!R22</f>
        <v>54.3275</v>
      </c>
      <c r="K6" s="20">
        <f t="shared" si="0"/>
        <v>408.3803790866614</v>
      </c>
      <c r="L6" s="1"/>
    </row>
    <row r="7" spans="1:12" ht="12.75">
      <c r="A7" t="s">
        <v>4</v>
      </c>
      <c r="B7" s="20">
        <f>SUM(B2:B6)</f>
        <v>162.38241691000002</v>
      </c>
      <c r="C7" s="20">
        <f aca="true" t="shared" si="1" ref="C7:J7">SUM(C2:C6)</f>
        <v>250.52114916666667</v>
      </c>
      <c r="D7" s="20">
        <f t="shared" si="1"/>
        <v>282.6073790191666</v>
      </c>
      <c r="E7" s="20">
        <f t="shared" si="1"/>
        <v>216.50164416666667</v>
      </c>
      <c r="F7" s="20">
        <f t="shared" si="1"/>
        <v>277.2769185</v>
      </c>
      <c r="G7" s="20">
        <f t="shared" si="1"/>
        <v>288.8905</v>
      </c>
      <c r="H7" s="20">
        <f t="shared" si="1"/>
        <v>237.67245321921982</v>
      </c>
      <c r="I7" s="20">
        <f t="shared" si="1"/>
        <v>318.8377735</v>
      </c>
      <c r="J7" s="20">
        <f t="shared" si="1"/>
        <v>669.628</v>
      </c>
      <c r="K7" s="20">
        <f t="shared" si="0"/>
        <v>2704.31823448172</v>
      </c>
      <c r="L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D19">
      <selection activeCell="T21" sqref="T21"/>
    </sheetView>
  </sheetViews>
  <sheetFormatPr defaultColWidth="9.140625" defaultRowHeight="12.75"/>
  <cols>
    <col min="1" max="1" width="20.00390625" style="0" customWidth="1"/>
    <col min="6" max="20" width="7.7109375" style="0" customWidth="1"/>
  </cols>
  <sheetData>
    <row r="1" spans="6:20" ht="12.75">
      <c r="F1" s="2"/>
      <c r="G1" s="2"/>
      <c r="H1" s="2" t="s">
        <v>1</v>
      </c>
      <c r="I1" s="2"/>
      <c r="K1" s="2" t="s">
        <v>2</v>
      </c>
      <c r="L1" s="2"/>
      <c r="N1" s="2" t="s">
        <v>3</v>
      </c>
      <c r="O1" s="2"/>
      <c r="Q1" s="2" t="s">
        <v>176</v>
      </c>
      <c r="R1" s="2" t="s">
        <v>4</v>
      </c>
      <c r="S1" s="2" t="s">
        <v>4</v>
      </c>
      <c r="T1" s="13" t="s">
        <v>95</v>
      </c>
    </row>
    <row r="2" spans="1:7" ht="12.75">
      <c r="A2" t="s">
        <v>16</v>
      </c>
      <c r="G2" s="2"/>
    </row>
    <row r="3" spans="1:20" ht="12.75">
      <c r="A3" t="s">
        <v>88</v>
      </c>
      <c r="B3" t="s">
        <v>186</v>
      </c>
      <c r="C3" t="s">
        <v>89</v>
      </c>
      <c r="D3" t="s">
        <v>90</v>
      </c>
      <c r="E3" t="s">
        <v>91</v>
      </c>
      <c r="F3" s="10" t="s">
        <v>177</v>
      </c>
      <c r="G3" s="14" t="s">
        <v>9</v>
      </c>
      <c r="H3" s="14" t="s">
        <v>178</v>
      </c>
      <c r="I3" s="10" t="s">
        <v>177</v>
      </c>
      <c r="J3" s="14" t="s">
        <v>9</v>
      </c>
      <c r="K3" s="14" t="s">
        <v>178</v>
      </c>
      <c r="L3" s="10" t="s">
        <v>177</v>
      </c>
      <c r="M3" s="14" t="s">
        <v>9</v>
      </c>
      <c r="N3" s="14" t="s">
        <v>178</v>
      </c>
      <c r="O3" s="10" t="s">
        <v>177</v>
      </c>
      <c r="P3" s="14" t="s">
        <v>9</v>
      </c>
      <c r="Q3" s="14" t="s">
        <v>178</v>
      </c>
      <c r="R3" s="10" t="s">
        <v>177</v>
      </c>
      <c r="S3" s="14" t="s">
        <v>9</v>
      </c>
      <c r="T3" s="14" t="s">
        <v>178</v>
      </c>
    </row>
    <row r="4" spans="1:20" ht="12.75">
      <c r="A4" s="21" t="str">
        <f>Staff!$A$5</f>
        <v>New RA-1</v>
      </c>
      <c r="B4" t="s">
        <v>187</v>
      </c>
      <c r="C4" s="11" t="s">
        <v>197</v>
      </c>
      <c r="D4" s="11" t="s">
        <v>198</v>
      </c>
      <c r="E4" s="12" t="s">
        <v>94</v>
      </c>
      <c r="F4" s="8">
        <f>WP3!D4+WP5!D4</f>
        <v>4</v>
      </c>
      <c r="G4" s="15">
        <f>F4*Staff!$D$5</f>
        <v>12.760399999999999</v>
      </c>
      <c r="H4" s="8">
        <f>G4</f>
        <v>12.760399999999999</v>
      </c>
      <c r="I4" s="8">
        <f>WP3!G4+WP5!G4</f>
        <v>11</v>
      </c>
      <c r="J4" s="15">
        <f>I4*Staff!$E$5</f>
        <v>36.52044</v>
      </c>
      <c r="K4" s="8">
        <f>Totals!$C$11*J4</f>
        <v>37.5247521</v>
      </c>
      <c r="L4" s="8">
        <f>WP3!J4+WP5!J4</f>
        <v>12</v>
      </c>
      <c r="M4" s="15">
        <f>L4*Staff!$F$5</f>
        <v>41.88594</v>
      </c>
      <c r="N4" s="8">
        <f>Totals!$D$11*M4</f>
        <v>44.23155264</v>
      </c>
      <c r="O4" s="8">
        <f>WP3!M4+WP5!M4</f>
        <v>6</v>
      </c>
      <c r="P4" s="15">
        <f>O4*Staff!$G$5</f>
        <v>21.72261</v>
      </c>
      <c r="Q4" s="8">
        <f>Totals!$E$11*P4</f>
        <v>23.56903185</v>
      </c>
      <c r="R4" s="8">
        <f aca="true" t="shared" si="0" ref="R4:T6">F4+I4+L4+O4</f>
        <v>33</v>
      </c>
      <c r="S4" s="8">
        <f t="shared" si="0"/>
        <v>112.88938999999999</v>
      </c>
      <c r="T4" s="8">
        <f t="shared" si="0"/>
        <v>118.08573659</v>
      </c>
    </row>
    <row r="5" spans="1:20" ht="12.75">
      <c r="A5" s="21" t="str">
        <f>Staff!$A$18</f>
        <v>R.J.Staley</v>
      </c>
      <c r="C5" s="11" t="s">
        <v>201</v>
      </c>
      <c r="D5" s="11" t="s">
        <v>204</v>
      </c>
      <c r="E5" s="12" t="s">
        <v>94</v>
      </c>
      <c r="F5" s="8">
        <f>WP3!D45</f>
        <v>0</v>
      </c>
      <c r="G5" s="15">
        <f>F5*Staff!$D$18</f>
        <v>0</v>
      </c>
      <c r="H5" s="8">
        <f>G5</f>
        <v>0</v>
      </c>
      <c r="I5" s="8">
        <f>WP3!G45</f>
        <v>0</v>
      </c>
      <c r="J5" s="15">
        <f>I5*Staff!$E$18</f>
        <v>0</v>
      </c>
      <c r="K5" s="8">
        <f>Totals!$C$11*J5</f>
        <v>0</v>
      </c>
      <c r="L5" s="8">
        <f>WP3!J45</f>
        <v>2</v>
      </c>
      <c r="M5" s="15">
        <f>L5*Staff!$F$18</f>
        <v>11.685596666666667</v>
      </c>
      <c r="N5" s="8">
        <f>Totals!$D$11*M5</f>
        <v>12.339990080000002</v>
      </c>
      <c r="O5" s="8">
        <f>WP3!M45</f>
        <v>2</v>
      </c>
      <c r="P5" s="15">
        <f>O5*Staff!$G$18</f>
        <v>11.685596666666667</v>
      </c>
      <c r="Q5" s="8">
        <f>Totals!$E$11*P5</f>
        <v>12.678872383333333</v>
      </c>
      <c r="R5" s="8">
        <f t="shared" si="0"/>
        <v>4</v>
      </c>
      <c r="S5" s="8">
        <f t="shared" si="0"/>
        <v>23.371193333333334</v>
      </c>
      <c r="T5" s="8">
        <f t="shared" si="0"/>
        <v>25.018862463333335</v>
      </c>
    </row>
    <row r="6" spans="1:20" ht="12.75">
      <c r="A6" s="21" t="str">
        <f>Staff!$A$19</f>
        <v>Electronics technicians</v>
      </c>
      <c r="C6" s="11" t="s">
        <v>201</v>
      </c>
      <c r="D6" s="11" t="s">
        <v>204</v>
      </c>
      <c r="E6" s="12" t="s">
        <v>94</v>
      </c>
      <c r="F6" s="8">
        <f>WP3!D46</f>
        <v>0</v>
      </c>
      <c r="G6" s="15">
        <f>F6*Staff!$D$19</f>
        <v>0</v>
      </c>
      <c r="H6" s="8">
        <f>G6</f>
        <v>0</v>
      </c>
      <c r="I6" s="8">
        <f>WP3!G46</f>
        <v>0</v>
      </c>
      <c r="J6" s="15">
        <f>I6*Staff!$E$19</f>
        <v>0</v>
      </c>
      <c r="K6" s="8">
        <f>Totals!$C$11*J6</f>
        <v>0</v>
      </c>
      <c r="L6" s="8">
        <f>WP3!J46</f>
        <v>1</v>
      </c>
      <c r="M6" s="15">
        <f>L6*Staff!$F$19</f>
        <v>2.8850816666666668</v>
      </c>
      <c r="N6" s="8">
        <f>Totals!$D$11*M6</f>
        <v>3.0466462400000003</v>
      </c>
      <c r="O6" s="8">
        <f>WP3!M46</f>
        <v>2</v>
      </c>
      <c r="P6" s="15">
        <f>O6*Staff!$G$19</f>
        <v>5.935143333333333</v>
      </c>
      <c r="Q6" s="8">
        <f>Totals!$E$11*P6</f>
        <v>6.439630516666667</v>
      </c>
      <c r="R6" s="8">
        <f t="shared" si="0"/>
        <v>3</v>
      </c>
      <c r="S6" s="8">
        <f t="shared" si="0"/>
        <v>8.820225</v>
      </c>
      <c r="T6" s="8">
        <f t="shared" si="0"/>
        <v>9.486276756666667</v>
      </c>
    </row>
    <row r="7" spans="1:20" ht="12.75">
      <c r="A7" s="21" t="s">
        <v>188</v>
      </c>
      <c r="C7" s="11"/>
      <c r="D7" s="11"/>
      <c r="E7" s="12"/>
      <c r="F7" s="8">
        <f aca="true" t="shared" si="1" ref="F7:T7">SUM(F5:F6)</f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3</v>
      </c>
      <c r="M7" s="8">
        <f t="shared" si="1"/>
        <v>14.570678333333333</v>
      </c>
      <c r="N7" s="8">
        <f t="shared" si="1"/>
        <v>15.386636320000001</v>
      </c>
      <c r="O7" s="8">
        <f t="shared" si="1"/>
        <v>4</v>
      </c>
      <c r="P7" s="8">
        <f t="shared" si="1"/>
        <v>17.62074</v>
      </c>
      <c r="Q7" s="8">
        <f t="shared" si="1"/>
        <v>19.1185029</v>
      </c>
      <c r="R7" s="8">
        <f t="shared" si="1"/>
        <v>7</v>
      </c>
      <c r="S7" s="8">
        <f t="shared" si="1"/>
        <v>32.19141833333333</v>
      </c>
      <c r="T7" s="8">
        <f t="shared" si="1"/>
        <v>34.505139220000004</v>
      </c>
    </row>
    <row r="8" spans="1:20" ht="12.75">
      <c r="A8" t="s">
        <v>4</v>
      </c>
      <c r="C8" s="11"/>
      <c r="D8" s="11"/>
      <c r="E8" s="12"/>
      <c r="F8" s="1">
        <f aca="true" t="shared" si="2" ref="F8:T8">F4+F7</f>
        <v>4</v>
      </c>
      <c r="G8" s="1">
        <f t="shared" si="2"/>
        <v>12.760399999999999</v>
      </c>
      <c r="H8" s="1">
        <f t="shared" si="2"/>
        <v>12.760399999999999</v>
      </c>
      <c r="I8" s="1">
        <f t="shared" si="2"/>
        <v>11</v>
      </c>
      <c r="J8" s="1">
        <f t="shared" si="2"/>
        <v>36.52044</v>
      </c>
      <c r="K8" s="1">
        <f t="shared" si="2"/>
        <v>37.5247521</v>
      </c>
      <c r="L8" s="1">
        <f t="shared" si="2"/>
        <v>15</v>
      </c>
      <c r="M8" s="1">
        <f t="shared" si="2"/>
        <v>56.45661833333333</v>
      </c>
      <c r="N8" s="1">
        <f t="shared" si="2"/>
        <v>59.61818896</v>
      </c>
      <c r="O8" s="1">
        <f t="shared" si="2"/>
        <v>10</v>
      </c>
      <c r="P8" s="1">
        <f t="shared" si="2"/>
        <v>39.34335</v>
      </c>
      <c r="Q8" s="1">
        <f t="shared" si="2"/>
        <v>42.68753475</v>
      </c>
      <c r="R8" s="1">
        <f t="shared" si="2"/>
        <v>40</v>
      </c>
      <c r="S8" s="1">
        <f t="shared" si="2"/>
        <v>145.08080833333332</v>
      </c>
      <c r="T8" s="20">
        <f t="shared" si="2"/>
        <v>152.59087581</v>
      </c>
    </row>
    <row r="9" spans="3:6" ht="12.75">
      <c r="C9" s="1"/>
      <c r="D9" s="1"/>
      <c r="E9" s="1"/>
      <c r="F9" s="1"/>
    </row>
    <row r="10" spans="1:12" ht="12.75">
      <c r="A10" t="s">
        <v>45</v>
      </c>
      <c r="F10" s="8"/>
      <c r="H10" s="2"/>
      <c r="J10" s="2"/>
      <c r="L10" s="2"/>
    </row>
    <row r="11" spans="1:20" ht="12.75">
      <c r="A11" t="s">
        <v>88</v>
      </c>
      <c r="B11" t="s">
        <v>186</v>
      </c>
      <c r="C11" t="s">
        <v>89</v>
      </c>
      <c r="D11" t="s">
        <v>90</v>
      </c>
      <c r="E11" t="s">
        <v>91</v>
      </c>
      <c r="F11" s="10" t="s">
        <v>177</v>
      </c>
      <c r="G11" s="14" t="s">
        <v>9</v>
      </c>
      <c r="H11" s="14" t="s">
        <v>178</v>
      </c>
      <c r="I11" s="10" t="s">
        <v>177</v>
      </c>
      <c r="J11" s="14" t="s">
        <v>9</v>
      </c>
      <c r="K11" s="14" t="s">
        <v>178</v>
      </c>
      <c r="L11" s="10" t="s">
        <v>177</v>
      </c>
      <c r="M11" s="14" t="s">
        <v>9</v>
      </c>
      <c r="N11" s="14" t="s">
        <v>178</v>
      </c>
      <c r="O11" s="10" t="s">
        <v>177</v>
      </c>
      <c r="P11" s="14" t="s">
        <v>9</v>
      </c>
      <c r="Q11" s="14" t="s">
        <v>178</v>
      </c>
      <c r="R11" s="10" t="s">
        <v>177</v>
      </c>
      <c r="S11" s="14" t="s">
        <v>9</v>
      </c>
      <c r="T11" s="14" t="s">
        <v>178</v>
      </c>
    </row>
    <row r="12" spans="1:20" ht="12.75">
      <c r="A12" s="21" t="str">
        <f>Staff!$A$6</f>
        <v>G.Mavromanolakis</v>
      </c>
      <c r="B12" t="s">
        <v>187</v>
      </c>
      <c r="C12" s="11" t="s">
        <v>93</v>
      </c>
      <c r="D12" s="11" t="s">
        <v>204</v>
      </c>
      <c r="E12" s="12" t="s">
        <v>94</v>
      </c>
      <c r="F12" s="8">
        <f>WP5!D5</f>
        <v>0</v>
      </c>
      <c r="G12" s="15">
        <f>F12*Staff!$D$6</f>
        <v>0</v>
      </c>
      <c r="H12" s="8">
        <f>G12</f>
        <v>0</v>
      </c>
      <c r="I12" s="8">
        <f>WP5!G5</f>
        <v>6</v>
      </c>
      <c r="J12" s="15">
        <f>I12*Staff!$E$6</f>
        <v>22.2995</v>
      </c>
      <c r="K12" s="8">
        <f>Totals!$C$11*J12</f>
        <v>22.912736250000002</v>
      </c>
      <c r="L12" s="8">
        <f>WP5!J5</f>
        <v>12</v>
      </c>
      <c r="M12" s="15">
        <f>L12*Staff!$F$6</f>
        <v>46.35</v>
      </c>
      <c r="N12" s="8">
        <f>Totals!$D$11*M12</f>
        <v>48.945600000000006</v>
      </c>
      <c r="O12" s="8">
        <v>0</v>
      </c>
      <c r="P12" s="15">
        <f>O12*Staff!$G$6</f>
        <v>0</v>
      </c>
      <c r="Q12" s="8">
        <f>Totals!$E$11*P12</f>
        <v>0</v>
      </c>
      <c r="R12" s="8">
        <f aca="true" t="shared" si="3" ref="R12:T15">F12+I12+L12+O12</f>
        <v>18</v>
      </c>
      <c r="S12" s="8">
        <f t="shared" si="3"/>
        <v>68.6495</v>
      </c>
      <c r="T12" s="8">
        <f t="shared" si="3"/>
        <v>71.85833625000001</v>
      </c>
    </row>
    <row r="13" spans="1:20" ht="12.75">
      <c r="A13" s="21" t="str">
        <f>Staff!$A$21</f>
        <v>M.J.Goodrick</v>
      </c>
      <c r="C13" s="11" t="s">
        <v>92</v>
      </c>
      <c r="D13" s="11" t="s">
        <v>204</v>
      </c>
      <c r="E13" s="12" t="s">
        <v>94</v>
      </c>
      <c r="F13" s="8">
        <f>WP2!D52</f>
        <v>2</v>
      </c>
      <c r="G13" s="15">
        <f>F13*Staff!$D$21</f>
        <v>11.536</v>
      </c>
      <c r="H13" s="8">
        <f>G13</f>
        <v>11.536</v>
      </c>
      <c r="I13" s="8">
        <f>WP2!G52</f>
        <v>2</v>
      </c>
      <c r="J13" s="15">
        <f>I13*Staff!$E$21</f>
        <v>11.536</v>
      </c>
      <c r="K13" s="8">
        <f>Totals!$C$11*J13</f>
        <v>11.853240000000001</v>
      </c>
      <c r="L13" s="8">
        <f>WP2!J52</f>
        <v>3</v>
      </c>
      <c r="M13" s="15">
        <f>L13*Staff!$F$21</f>
        <v>17.716</v>
      </c>
      <c r="N13" s="8">
        <f>Totals!$D$11*M13</f>
        <v>18.708096</v>
      </c>
      <c r="O13" s="8">
        <f>WP2!M52</f>
        <v>1</v>
      </c>
      <c r="P13" s="15">
        <f>O13*Staff!$G$21</f>
        <v>5.905333333333334</v>
      </c>
      <c r="Q13" s="8">
        <f>Totals!$E$11*P13</f>
        <v>6.407286666666667</v>
      </c>
      <c r="R13" s="8">
        <f t="shared" si="3"/>
        <v>8</v>
      </c>
      <c r="S13" s="8">
        <f t="shared" si="3"/>
        <v>46.69333333333333</v>
      </c>
      <c r="T13" s="8">
        <f t="shared" si="3"/>
        <v>48.50462266666666</v>
      </c>
    </row>
    <row r="14" spans="1:20" ht="12.75">
      <c r="A14" s="21" t="str">
        <f>Staff!$A$22</f>
        <v>R.Shaw</v>
      </c>
      <c r="C14" s="11" t="s">
        <v>92</v>
      </c>
      <c r="D14" s="11" t="s">
        <v>204</v>
      </c>
      <c r="E14" s="12" t="s">
        <v>94</v>
      </c>
      <c r="F14" s="8">
        <f>WP2!D53</f>
        <v>1</v>
      </c>
      <c r="G14" s="15">
        <f>F14*Staff!$D$22</f>
        <v>3.502</v>
      </c>
      <c r="H14" s="8">
        <f>G14</f>
        <v>3.502</v>
      </c>
      <c r="I14" s="8">
        <f>WP2!G53</f>
        <v>2</v>
      </c>
      <c r="J14" s="15">
        <f>I14*Staff!$E$22</f>
        <v>7.21</v>
      </c>
      <c r="K14" s="8">
        <f>Totals!$C$11*J14</f>
        <v>7.408275000000001</v>
      </c>
      <c r="L14" s="8">
        <f>WP2!J53</f>
        <v>2</v>
      </c>
      <c r="M14" s="15">
        <f>L14*Staff!$F$22</f>
        <v>7.313</v>
      </c>
      <c r="N14" s="8">
        <f>Totals!$D$11*M14</f>
        <v>7.7225280000000005</v>
      </c>
      <c r="O14" s="8">
        <f>WP2!M53</f>
        <v>1</v>
      </c>
      <c r="P14" s="15">
        <f>O14*Staff!$G$21</f>
        <v>5.905333333333334</v>
      </c>
      <c r="Q14" s="8">
        <f>Totals!$E$11*P14</f>
        <v>6.407286666666667</v>
      </c>
      <c r="R14" s="8">
        <f t="shared" si="3"/>
        <v>6</v>
      </c>
      <c r="S14" s="8">
        <f t="shared" si="3"/>
        <v>23.930333333333333</v>
      </c>
      <c r="T14" s="8">
        <f t="shared" si="3"/>
        <v>25.04008966666667</v>
      </c>
    </row>
    <row r="15" spans="1:20" ht="12.75">
      <c r="A15" s="21" t="str">
        <f>Staff!$A$20</f>
        <v>C.Barham</v>
      </c>
      <c r="C15" s="11" t="s">
        <v>92</v>
      </c>
      <c r="D15" s="11" t="s">
        <v>204</v>
      </c>
      <c r="E15" s="12" t="s">
        <v>94</v>
      </c>
      <c r="F15" s="8">
        <f>WP2!D54</f>
        <v>1</v>
      </c>
      <c r="G15" s="15">
        <f>F15*Staff!$D$20</f>
        <v>3.193</v>
      </c>
      <c r="H15" s="8">
        <f>G15</f>
        <v>3.193</v>
      </c>
      <c r="I15" s="8">
        <f>WP2!G54</f>
        <v>3</v>
      </c>
      <c r="J15" s="15">
        <f>I15*Staff!$E$20</f>
        <v>9.682</v>
      </c>
      <c r="K15" s="8">
        <f>Totals!$C$11*J15</f>
        <v>9.948255000000001</v>
      </c>
      <c r="L15" s="8">
        <f>WP2!J54</f>
        <v>4</v>
      </c>
      <c r="M15" s="15">
        <f>L15*Staff!$F$20</f>
        <v>13.081</v>
      </c>
      <c r="N15" s="8">
        <f>Totals!$D$11*M15</f>
        <v>13.813536000000001</v>
      </c>
      <c r="O15" s="8">
        <f>WP2!M54</f>
        <v>2</v>
      </c>
      <c r="P15" s="15">
        <f>O15*Staff!$G$21</f>
        <v>11.810666666666668</v>
      </c>
      <c r="Q15" s="8">
        <f>Totals!$E$11*P15</f>
        <v>12.814573333333334</v>
      </c>
      <c r="R15" s="8">
        <f t="shared" si="3"/>
        <v>10</v>
      </c>
      <c r="S15" s="8">
        <f t="shared" si="3"/>
        <v>37.766666666666666</v>
      </c>
      <c r="T15" s="8">
        <f t="shared" si="3"/>
        <v>39.769364333333336</v>
      </c>
    </row>
    <row r="16" spans="1:20" ht="12.75">
      <c r="A16" s="21" t="s">
        <v>188</v>
      </c>
      <c r="C16" s="11"/>
      <c r="D16" s="11"/>
      <c r="E16" s="12"/>
      <c r="F16" s="1">
        <f aca="true" t="shared" si="4" ref="F16:T16">SUM(F13:F15)</f>
        <v>4</v>
      </c>
      <c r="G16" s="1">
        <f t="shared" si="4"/>
        <v>18.231</v>
      </c>
      <c r="H16" s="1">
        <f t="shared" si="4"/>
        <v>18.231</v>
      </c>
      <c r="I16" s="1">
        <f t="shared" si="4"/>
        <v>7</v>
      </c>
      <c r="J16" s="1">
        <f t="shared" si="4"/>
        <v>28.427999999999997</v>
      </c>
      <c r="K16" s="1">
        <f t="shared" si="4"/>
        <v>29.209770000000006</v>
      </c>
      <c r="L16" s="1">
        <f t="shared" si="4"/>
        <v>9</v>
      </c>
      <c r="M16" s="1">
        <f t="shared" si="4"/>
        <v>38.11</v>
      </c>
      <c r="N16" s="1">
        <f t="shared" si="4"/>
        <v>40.24416</v>
      </c>
      <c r="O16" s="1">
        <f t="shared" si="4"/>
        <v>4</v>
      </c>
      <c r="P16" s="1">
        <f t="shared" si="4"/>
        <v>23.621333333333336</v>
      </c>
      <c r="Q16" s="1">
        <f t="shared" si="4"/>
        <v>25.629146666666667</v>
      </c>
      <c r="R16" s="1">
        <f t="shared" si="4"/>
        <v>24</v>
      </c>
      <c r="S16" s="1">
        <f t="shared" si="4"/>
        <v>108.39033333333333</v>
      </c>
      <c r="T16" s="1">
        <f t="shared" si="4"/>
        <v>113.31407666666667</v>
      </c>
    </row>
    <row r="17" spans="1:20" ht="12.75">
      <c r="A17" t="s">
        <v>4</v>
      </c>
      <c r="C17" s="11"/>
      <c r="D17" s="11"/>
      <c r="E17" s="12"/>
      <c r="F17" s="1">
        <f aca="true" t="shared" si="5" ref="F17:T17">F12+F16</f>
        <v>4</v>
      </c>
      <c r="G17" s="1">
        <f t="shared" si="5"/>
        <v>18.231</v>
      </c>
      <c r="H17" s="1">
        <f t="shared" si="5"/>
        <v>18.231</v>
      </c>
      <c r="I17" s="1">
        <f t="shared" si="5"/>
        <v>13</v>
      </c>
      <c r="J17" s="1">
        <f t="shared" si="5"/>
        <v>50.72749999999999</v>
      </c>
      <c r="K17" s="1">
        <f t="shared" si="5"/>
        <v>52.12250625000001</v>
      </c>
      <c r="L17" s="1">
        <f t="shared" si="5"/>
        <v>21</v>
      </c>
      <c r="M17" s="1">
        <f t="shared" si="5"/>
        <v>84.46000000000001</v>
      </c>
      <c r="N17" s="1">
        <f t="shared" si="5"/>
        <v>89.18976</v>
      </c>
      <c r="O17" s="1">
        <f t="shared" si="5"/>
        <v>4</v>
      </c>
      <c r="P17" s="1">
        <f t="shared" si="5"/>
        <v>23.621333333333336</v>
      </c>
      <c r="Q17" s="1">
        <f t="shared" si="5"/>
        <v>25.629146666666667</v>
      </c>
      <c r="R17" s="1">
        <f t="shared" si="5"/>
        <v>42</v>
      </c>
      <c r="S17" s="1">
        <f t="shared" si="5"/>
        <v>177.03983333333332</v>
      </c>
      <c r="T17" s="20">
        <f t="shared" si="5"/>
        <v>185.17241291666667</v>
      </c>
    </row>
    <row r="19" spans="1:12" ht="12.75">
      <c r="A19" t="s">
        <v>14</v>
      </c>
      <c r="F19" s="2"/>
      <c r="H19" s="2"/>
      <c r="J19" s="2"/>
      <c r="L19" s="2"/>
    </row>
    <row r="20" spans="1:20" ht="12.75">
      <c r="A20" t="s">
        <v>88</v>
      </c>
      <c r="B20" t="s">
        <v>186</v>
      </c>
      <c r="C20" t="s">
        <v>89</v>
      </c>
      <c r="D20" t="s">
        <v>90</v>
      </c>
      <c r="E20" t="s">
        <v>91</v>
      </c>
      <c r="F20" s="10" t="s">
        <v>177</v>
      </c>
      <c r="G20" s="14" t="s">
        <v>9</v>
      </c>
      <c r="H20" s="14" t="s">
        <v>178</v>
      </c>
      <c r="I20" s="10" t="s">
        <v>177</v>
      </c>
      <c r="J20" s="14" t="s">
        <v>9</v>
      </c>
      <c r="K20" s="14" t="s">
        <v>178</v>
      </c>
      <c r="L20" s="10" t="s">
        <v>177</v>
      </c>
      <c r="M20" s="14" t="s">
        <v>9</v>
      </c>
      <c r="N20" s="14" t="s">
        <v>178</v>
      </c>
      <c r="O20" s="10" t="s">
        <v>177</v>
      </c>
      <c r="P20" s="14" t="s">
        <v>9</v>
      </c>
      <c r="Q20" s="14" t="s">
        <v>178</v>
      </c>
      <c r="R20" s="10" t="s">
        <v>177</v>
      </c>
      <c r="S20" s="14" t="s">
        <v>9</v>
      </c>
      <c r="T20" s="14" t="s">
        <v>178</v>
      </c>
    </row>
    <row r="21" spans="1:20" ht="12.75">
      <c r="A21" s="21" t="str">
        <f>Staff!$A$7</f>
        <v>New RA-2</v>
      </c>
      <c r="B21" t="s">
        <v>187</v>
      </c>
      <c r="C21" s="11" t="s">
        <v>197</v>
      </c>
      <c r="D21" s="11" t="s">
        <v>198</v>
      </c>
      <c r="E21" s="12" t="s">
        <v>94</v>
      </c>
      <c r="F21" s="8">
        <f>WP2!D4+WP3!D5+WP5!D6</f>
        <v>0</v>
      </c>
      <c r="G21" s="15">
        <f>F21*Staff!$D$7</f>
        <v>0</v>
      </c>
      <c r="H21" s="8">
        <f>G21</f>
        <v>0</v>
      </c>
      <c r="I21" s="8">
        <f>WP2!G4+WP3!G5+WP5!G6</f>
        <v>7</v>
      </c>
      <c r="J21" s="15">
        <f>I21*Staff!$E$7</f>
        <v>27.25588833333333</v>
      </c>
      <c r="K21" s="8">
        <f>Totals!$C$11*J21</f>
        <v>28.0054252625</v>
      </c>
      <c r="L21" s="8">
        <f>WP2!J4+WP3!J5+WP5!J6</f>
        <v>11</v>
      </c>
      <c r="M21" s="15">
        <f>L21*Staff!$F$7</f>
        <v>43.99503166666666</v>
      </c>
      <c r="N21" s="8">
        <f>Totals!$D$11*M21</f>
        <v>46.458753439999995</v>
      </c>
      <c r="O21" s="8">
        <f>WP2!M4+WP3!M5+WP5!M6</f>
        <v>6</v>
      </c>
      <c r="P21" s="15">
        <f>O21*Staff!$G$7</f>
        <v>24.614140000000003</v>
      </c>
      <c r="Q21" s="8">
        <f>Totals!$E$11*P21</f>
        <v>26.7063419</v>
      </c>
      <c r="R21" s="8">
        <f aca="true" t="shared" si="6" ref="R21:T24">F21+I21+L21+O21</f>
        <v>24</v>
      </c>
      <c r="S21" s="8">
        <f t="shared" si="6"/>
        <v>95.86506</v>
      </c>
      <c r="T21" s="8">
        <f t="shared" si="6"/>
        <v>101.17052060249999</v>
      </c>
    </row>
    <row r="22" spans="1:20" ht="12.75">
      <c r="A22" s="21" t="str">
        <f>Staff!$A$25</f>
        <v>O.Zorba</v>
      </c>
      <c r="B22" t="s">
        <v>19</v>
      </c>
      <c r="C22" s="11" t="s">
        <v>92</v>
      </c>
      <c r="D22" s="11" t="s">
        <v>204</v>
      </c>
      <c r="E22" s="12" t="s">
        <v>94</v>
      </c>
      <c r="F22" s="8">
        <f>WP2!D56+WP3!D47</f>
        <v>0</v>
      </c>
      <c r="G22" s="15">
        <f>F22*Staff!$D$25</f>
        <v>0</v>
      </c>
      <c r="H22" s="8">
        <f>G22</f>
        <v>0</v>
      </c>
      <c r="I22" s="8">
        <f>WP2!G56+WP3!G47</f>
        <v>1</v>
      </c>
      <c r="J22" s="15">
        <f>I22*Staff!$E$25</f>
        <v>5.108296666666666</v>
      </c>
      <c r="K22" s="8">
        <f>Totals!$C$11*J22</f>
        <v>5.248774825</v>
      </c>
      <c r="L22" s="8">
        <f>WP2!J56+WP3!J47</f>
        <v>4</v>
      </c>
      <c r="M22" s="15">
        <f>L22*Staff!$F$25</f>
        <v>21.00307333333333</v>
      </c>
      <c r="N22" s="8">
        <f>Totals!$D$11*M22</f>
        <v>22.179245439999995</v>
      </c>
      <c r="O22" s="8">
        <f>WP2!M56+WP3!M47</f>
        <v>4</v>
      </c>
      <c r="P22" s="15">
        <f>O22*Staff!$G$25</f>
        <v>21.556413333333325</v>
      </c>
      <c r="Q22" s="8">
        <f>Totals!$E$11*P22</f>
        <v>23.388708466666657</v>
      </c>
      <c r="R22" s="8">
        <f t="shared" si="6"/>
        <v>9</v>
      </c>
      <c r="S22" s="8">
        <f t="shared" si="6"/>
        <v>47.66778333333332</v>
      </c>
      <c r="T22" s="8">
        <f t="shared" si="6"/>
        <v>50.81672873166665</v>
      </c>
    </row>
    <row r="23" spans="1:20" ht="12.75">
      <c r="A23" s="21" t="str">
        <f>Staff!$A$24</f>
        <v>D.R.Price</v>
      </c>
      <c r="C23" s="11" t="s">
        <v>93</v>
      </c>
      <c r="D23" s="11" t="s">
        <v>204</v>
      </c>
      <c r="E23" s="12" t="s">
        <v>94</v>
      </c>
      <c r="F23" s="8">
        <f>WP2!D55+WP3!D48</f>
        <v>0</v>
      </c>
      <c r="G23" s="15">
        <f>F23*Staff!$D$24</f>
        <v>0</v>
      </c>
      <c r="H23" s="8">
        <f>G23</f>
        <v>0</v>
      </c>
      <c r="I23" s="8">
        <f>WP2!G55+WP3!G48</f>
        <v>1</v>
      </c>
      <c r="J23" s="15">
        <f>I23*Staff!$E$24</f>
        <v>7.129058333333333</v>
      </c>
      <c r="K23" s="8">
        <f>Totals!$C$11*J23</f>
        <v>7.325107437500001</v>
      </c>
      <c r="L23" s="8">
        <f>WP2!J55+WP3!J48</f>
        <v>4</v>
      </c>
      <c r="M23" s="15">
        <f>L23*Staff!$F$24</f>
        <v>29.32799333333333</v>
      </c>
      <c r="N23" s="8">
        <f>Totals!$D$11*M23</f>
        <v>30.970360959999997</v>
      </c>
      <c r="O23" s="8">
        <f>WP2!M55+WP3!M48</f>
        <v>3</v>
      </c>
      <c r="P23" s="15">
        <f>O23*Staff!$G$24</f>
        <v>22.586929999999995</v>
      </c>
      <c r="Q23" s="8">
        <f>Totals!$E$11*P23</f>
        <v>24.506819049999994</v>
      </c>
      <c r="R23" s="8">
        <f t="shared" si="6"/>
        <v>8</v>
      </c>
      <c r="S23" s="8">
        <f t="shared" si="6"/>
        <v>59.04398166666665</v>
      </c>
      <c r="T23" s="8">
        <f t="shared" si="6"/>
        <v>62.80228744749999</v>
      </c>
    </row>
    <row r="24" spans="1:20" ht="12.75">
      <c r="A24" s="21" t="str">
        <f>Staff!$A$23</f>
        <v>I.Clark</v>
      </c>
      <c r="C24" s="11" t="s">
        <v>201</v>
      </c>
      <c r="D24" s="11" t="s">
        <v>204</v>
      </c>
      <c r="E24" s="12" t="s">
        <v>94</v>
      </c>
      <c r="F24" s="8">
        <f>WP3!D49</f>
        <v>0</v>
      </c>
      <c r="G24" s="15">
        <f>F24*Staff!$D$23</f>
        <v>0</v>
      </c>
      <c r="H24" s="8">
        <f>G24</f>
        <v>0</v>
      </c>
      <c r="I24" s="8">
        <f>WP3!G49</f>
        <v>0</v>
      </c>
      <c r="J24" s="15">
        <f>I24*Staff!$E$23</f>
        <v>0</v>
      </c>
      <c r="K24" s="8">
        <f>Totals!$C$11*J24</f>
        <v>0</v>
      </c>
      <c r="L24" s="8">
        <f>WP3!J49</f>
        <v>1</v>
      </c>
      <c r="M24" s="15">
        <f>L24*Staff!$F$23</f>
        <v>4.835885</v>
      </c>
      <c r="N24" s="8">
        <f>Totals!$D$11*M24</f>
        <v>5.10669456</v>
      </c>
      <c r="O24" s="8">
        <f>WP3!M49</f>
        <v>2</v>
      </c>
      <c r="P24" s="15">
        <f>O24*Staff!$G$23</f>
        <v>9.924836666666668</v>
      </c>
      <c r="Q24" s="8">
        <f>Totals!$E$11*P24</f>
        <v>10.768447783333334</v>
      </c>
      <c r="R24" s="8">
        <f t="shared" si="6"/>
        <v>3</v>
      </c>
      <c r="S24" s="8">
        <f t="shared" si="6"/>
        <v>14.760721666666669</v>
      </c>
      <c r="T24" s="8">
        <f t="shared" si="6"/>
        <v>15.875142343333334</v>
      </c>
    </row>
    <row r="25" spans="1:20" ht="12.75">
      <c r="A25" s="21" t="s">
        <v>188</v>
      </c>
      <c r="C25" s="11"/>
      <c r="D25" s="11"/>
      <c r="E25" s="12"/>
      <c r="F25" s="1">
        <f aca="true" t="shared" si="7" ref="F25:T25">SUM(F22:F24)</f>
        <v>0</v>
      </c>
      <c r="G25" s="1">
        <f t="shared" si="7"/>
        <v>0</v>
      </c>
      <c r="H25" s="1">
        <f t="shared" si="7"/>
        <v>0</v>
      </c>
      <c r="I25" s="1">
        <f t="shared" si="7"/>
        <v>2</v>
      </c>
      <c r="J25" s="1">
        <f t="shared" si="7"/>
        <v>12.237354999999999</v>
      </c>
      <c r="K25" s="1">
        <f t="shared" si="7"/>
        <v>12.5738822625</v>
      </c>
      <c r="L25" s="1">
        <f t="shared" si="7"/>
        <v>9</v>
      </c>
      <c r="M25" s="1">
        <f t="shared" si="7"/>
        <v>55.166951666666655</v>
      </c>
      <c r="N25" s="1">
        <f t="shared" si="7"/>
        <v>58.25630096</v>
      </c>
      <c r="O25" s="1">
        <f t="shared" si="7"/>
        <v>9</v>
      </c>
      <c r="P25" s="1">
        <f t="shared" si="7"/>
        <v>54.068179999999984</v>
      </c>
      <c r="Q25" s="1">
        <f t="shared" si="7"/>
        <v>58.66397529999998</v>
      </c>
      <c r="R25" s="1">
        <f t="shared" si="7"/>
        <v>20</v>
      </c>
      <c r="S25" s="1">
        <f t="shared" si="7"/>
        <v>121.47248666666664</v>
      </c>
      <c r="T25" s="1">
        <f t="shared" si="7"/>
        <v>129.49415852249996</v>
      </c>
    </row>
    <row r="26" spans="1:20" ht="12.75">
      <c r="A26" t="s">
        <v>4</v>
      </c>
      <c r="C26" s="11"/>
      <c r="D26" s="11"/>
      <c r="E26" s="12"/>
      <c r="F26" s="1">
        <f aca="true" t="shared" si="8" ref="F26:T26">F21+F25</f>
        <v>0</v>
      </c>
      <c r="G26" s="1">
        <f t="shared" si="8"/>
        <v>0</v>
      </c>
      <c r="H26" s="1">
        <f t="shared" si="8"/>
        <v>0</v>
      </c>
      <c r="I26" s="1">
        <f t="shared" si="8"/>
        <v>9</v>
      </c>
      <c r="J26" s="1">
        <f t="shared" si="8"/>
        <v>39.49324333333333</v>
      </c>
      <c r="K26" s="1">
        <f t="shared" si="8"/>
        <v>40.579307525000004</v>
      </c>
      <c r="L26" s="1">
        <f t="shared" si="8"/>
        <v>20</v>
      </c>
      <c r="M26" s="1">
        <f t="shared" si="8"/>
        <v>99.16198333333332</v>
      </c>
      <c r="N26" s="1">
        <f t="shared" si="8"/>
        <v>104.71505439999999</v>
      </c>
      <c r="O26" s="1">
        <f t="shared" si="8"/>
        <v>15</v>
      </c>
      <c r="P26" s="1">
        <f t="shared" si="8"/>
        <v>78.68231999999999</v>
      </c>
      <c r="Q26" s="1">
        <f t="shared" si="8"/>
        <v>85.37031719999999</v>
      </c>
      <c r="R26" s="1">
        <f t="shared" si="8"/>
        <v>44</v>
      </c>
      <c r="S26" s="1">
        <f t="shared" si="8"/>
        <v>217.33754666666664</v>
      </c>
      <c r="T26" s="20">
        <f t="shared" si="8"/>
        <v>230.66467912499996</v>
      </c>
    </row>
    <row r="27" spans="3:20" ht="12.75">
      <c r="C27" s="11"/>
      <c r="D27" s="11"/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12" ht="12.75">
      <c r="A28" t="s">
        <v>42</v>
      </c>
      <c r="F28" s="2"/>
      <c r="H28" s="2"/>
      <c r="J28" s="2"/>
      <c r="L28" s="2"/>
    </row>
    <row r="29" spans="1:20" ht="12.75">
      <c r="A29" t="s">
        <v>88</v>
      </c>
      <c r="B29" t="s">
        <v>186</v>
      </c>
      <c r="C29" t="s">
        <v>89</v>
      </c>
      <c r="D29" t="s">
        <v>90</v>
      </c>
      <c r="E29" t="s">
        <v>91</v>
      </c>
      <c r="F29" s="10" t="s">
        <v>177</v>
      </c>
      <c r="G29" s="14" t="s">
        <v>9</v>
      </c>
      <c r="H29" s="14" t="s">
        <v>178</v>
      </c>
      <c r="I29" s="10" t="s">
        <v>177</v>
      </c>
      <c r="J29" s="14" t="s">
        <v>9</v>
      </c>
      <c r="K29" s="14" t="s">
        <v>178</v>
      </c>
      <c r="L29" s="10" t="s">
        <v>177</v>
      </c>
      <c r="M29" s="14" t="s">
        <v>9</v>
      </c>
      <c r="N29" s="14" t="s">
        <v>178</v>
      </c>
      <c r="O29" s="10" t="s">
        <v>177</v>
      </c>
      <c r="P29" s="14" t="s">
        <v>9</v>
      </c>
      <c r="Q29" s="14" t="s">
        <v>178</v>
      </c>
      <c r="R29" s="10" t="s">
        <v>177</v>
      </c>
      <c r="S29" s="14" t="s">
        <v>9</v>
      </c>
      <c r="T29" s="14" t="s">
        <v>178</v>
      </c>
    </row>
    <row r="30" spans="1:20" ht="12.75">
      <c r="A30" s="21" t="str">
        <f>Staff!$A$28</f>
        <v>R.Hughes-Jones</v>
      </c>
      <c r="C30" s="11" t="s">
        <v>92</v>
      </c>
      <c r="D30" s="11" t="s">
        <v>204</v>
      </c>
      <c r="E30" s="12" t="s">
        <v>94</v>
      </c>
      <c r="F30" s="8">
        <f>WP2!D57</f>
        <v>1</v>
      </c>
      <c r="G30" s="15">
        <f>F30*Staff!$D$28</f>
        <v>5.922166666666667</v>
      </c>
      <c r="H30" s="8">
        <f aca="true" t="shared" si="9" ref="H30:H36">G30</f>
        <v>5.922166666666667</v>
      </c>
      <c r="I30" s="8">
        <f>WP2!G57</f>
        <v>2</v>
      </c>
      <c r="J30" s="15">
        <f>I30*Staff!$E$28</f>
        <v>12.140500000000001</v>
      </c>
      <c r="K30" s="8">
        <f>Totals!$C$11*J30</f>
        <v>12.474363750000002</v>
      </c>
      <c r="L30" s="8">
        <f>WP2!J57</f>
        <v>2</v>
      </c>
      <c r="M30" s="15">
        <f>L30*Staff!$F$28</f>
        <v>12.444</v>
      </c>
      <c r="N30" s="8">
        <f>Totals!$D$11*M30</f>
        <v>13.140864000000002</v>
      </c>
      <c r="O30" s="8">
        <f>WP2!M57</f>
        <v>1</v>
      </c>
      <c r="P30" s="15">
        <f>O30*Staff!$G$28</f>
        <v>6.370083333333334</v>
      </c>
      <c r="Q30" s="8">
        <f>Totals!$E$11*P30</f>
        <v>6.911540416666668</v>
      </c>
      <c r="R30" s="8">
        <f aca="true" t="shared" si="10" ref="R30:T36">F30+I30+L30+O30</f>
        <v>6</v>
      </c>
      <c r="S30" s="8">
        <f t="shared" si="10"/>
        <v>36.87675</v>
      </c>
      <c r="T30" s="8">
        <f t="shared" si="10"/>
        <v>38.44893483333334</v>
      </c>
    </row>
    <row r="31" spans="1:20" ht="12.75">
      <c r="A31" s="21" t="str">
        <f>Staff!$A$29</f>
        <v>S.Kolya</v>
      </c>
      <c r="C31" s="11" t="s">
        <v>92</v>
      </c>
      <c r="D31" s="11" t="s">
        <v>204</v>
      </c>
      <c r="E31" s="12" t="s">
        <v>94</v>
      </c>
      <c r="F31" s="8">
        <f>WP2!D58</f>
        <v>1</v>
      </c>
      <c r="G31" s="15">
        <f>F31*Staff!$D$29</f>
        <v>5.996166666666666</v>
      </c>
      <c r="H31" s="8">
        <f t="shared" si="9"/>
        <v>5.996166666666666</v>
      </c>
      <c r="I31" s="8">
        <f>WP2!G58</f>
        <v>1</v>
      </c>
      <c r="J31" s="15">
        <f>I31*Staff!$E$29</f>
        <v>6.146083333333333</v>
      </c>
      <c r="K31" s="8">
        <f>Totals!$C$11*J31</f>
        <v>6.315100625</v>
      </c>
      <c r="L31" s="8">
        <f>WP2!J58</f>
        <v>1</v>
      </c>
      <c r="M31" s="15">
        <f>L31*Staff!$F$29</f>
        <v>6.2997499999999995</v>
      </c>
      <c r="N31" s="8">
        <f>Totals!$D$11*M31</f>
        <v>6.652536</v>
      </c>
      <c r="O31" s="8">
        <f>WP2!M58</f>
        <v>1</v>
      </c>
      <c r="P31" s="15">
        <f>O31*Staff!$G$29</f>
        <v>6.449666666666666</v>
      </c>
      <c r="Q31" s="8">
        <f>Totals!$E$11*P31</f>
        <v>6.997888333333333</v>
      </c>
      <c r="R31" s="8">
        <f t="shared" si="10"/>
        <v>4</v>
      </c>
      <c r="S31" s="8">
        <f t="shared" si="10"/>
        <v>24.891666666666666</v>
      </c>
      <c r="T31" s="8">
        <f t="shared" si="10"/>
        <v>25.961691624999997</v>
      </c>
    </row>
    <row r="32" spans="1:20" ht="12.75">
      <c r="A32" s="21" t="str">
        <f>Staff!$A$32</f>
        <v>R.J.Thompson</v>
      </c>
      <c r="C32" s="11" t="s">
        <v>92</v>
      </c>
      <c r="D32" s="11" t="s">
        <v>204</v>
      </c>
      <c r="E32" s="12" t="s">
        <v>94</v>
      </c>
      <c r="F32" s="8">
        <f>WP4!D31</f>
        <v>1</v>
      </c>
      <c r="G32" s="15">
        <f>F32*Staff!$D$32</f>
        <v>5.922166666666667</v>
      </c>
      <c r="H32" s="8">
        <f t="shared" si="9"/>
        <v>5.922166666666667</v>
      </c>
      <c r="I32" s="8">
        <f>WP4!G31</f>
        <v>1</v>
      </c>
      <c r="J32" s="15">
        <f>I32*Staff!$E$32</f>
        <v>6.070250000000001</v>
      </c>
      <c r="K32" s="8">
        <f>Totals!$C$11*J32</f>
        <v>6.237181875000001</v>
      </c>
      <c r="L32" s="8">
        <f>WP4!J31</f>
        <v>4</v>
      </c>
      <c r="M32" s="15">
        <f>L32*Staff!$F$32</f>
        <v>24.888</v>
      </c>
      <c r="N32" s="8">
        <f>Totals!$D$11*M32</f>
        <v>26.281728000000005</v>
      </c>
      <c r="O32" s="8">
        <f>WP4!M31</f>
        <v>4</v>
      </c>
      <c r="P32" s="15">
        <f>O32*Staff!$G$32</f>
        <v>25.480333333333338</v>
      </c>
      <c r="Q32" s="8">
        <f>Totals!$E$11*P32</f>
        <v>27.64616166666667</v>
      </c>
      <c r="R32" s="8">
        <f t="shared" si="10"/>
        <v>10</v>
      </c>
      <c r="S32" s="8">
        <f t="shared" si="10"/>
        <v>62.36075000000001</v>
      </c>
      <c r="T32" s="8">
        <f t="shared" si="10"/>
        <v>66.08723820833335</v>
      </c>
    </row>
    <row r="33" spans="1:20" ht="12.75">
      <c r="A33" s="21" t="str">
        <f>Staff!$A$31</f>
        <v>S.Snow</v>
      </c>
      <c r="C33" s="11" t="s">
        <v>92</v>
      </c>
      <c r="D33" s="11" t="s">
        <v>204</v>
      </c>
      <c r="E33" s="12" t="s">
        <v>94</v>
      </c>
      <c r="F33" s="8">
        <f>WP4!D32</f>
        <v>1</v>
      </c>
      <c r="G33" s="15">
        <f>F33*Staff!$D$31</f>
        <v>5.725750000000001</v>
      </c>
      <c r="H33" s="8">
        <f t="shared" si="9"/>
        <v>5.725750000000001</v>
      </c>
      <c r="I33" s="8">
        <f>WP4!G32</f>
        <v>1</v>
      </c>
      <c r="J33" s="15">
        <f>I33*Staff!$E$31</f>
        <v>6.0955</v>
      </c>
      <c r="K33" s="8">
        <f>Totals!$C$11*J33</f>
        <v>6.263126250000001</v>
      </c>
      <c r="L33" s="8">
        <f>WP4!J32</f>
        <v>1</v>
      </c>
      <c r="M33" s="15">
        <f>L33*Staff!$F$31</f>
        <v>6.37725</v>
      </c>
      <c r="N33" s="8">
        <f>Totals!$D$11*M33</f>
        <v>6.734376</v>
      </c>
      <c r="O33" s="8">
        <f>WP4!M32</f>
        <v>1</v>
      </c>
      <c r="P33" s="15">
        <f>O33*Staff!$G$31</f>
        <v>6.747000000000001</v>
      </c>
      <c r="Q33" s="8">
        <f>Totals!$E$11*P33</f>
        <v>7.320495</v>
      </c>
      <c r="R33" s="8">
        <f t="shared" si="10"/>
        <v>4</v>
      </c>
      <c r="S33" s="8">
        <f t="shared" si="10"/>
        <v>24.945500000000003</v>
      </c>
      <c r="T33" s="8">
        <f t="shared" si="10"/>
        <v>26.043747250000003</v>
      </c>
    </row>
    <row r="34" spans="1:20" ht="12.75">
      <c r="A34" s="21" t="str">
        <f>Staff!$A$27</f>
        <v>J.Freestone</v>
      </c>
      <c r="C34" s="11" t="s">
        <v>92</v>
      </c>
      <c r="D34" s="11" t="s">
        <v>204</v>
      </c>
      <c r="E34" s="12" t="s">
        <v>94</v>
      </c>
      <c r="F34" s="8">
        <f>WP4!D33</f>
        <v>1</v>
      </c>
      <c r="G34" s="15">
        <f>F34*Staff!$D$27</f>
        <v>3.998333333333333</v>
      </c>
      <c r="H34" s="8">
        <f t="shared" si="9"/>
        <v>3.998333333333333</v>
      </c>
      <c r="I34" s="8">
        <f>WP4!G33</f>
        <v>1</v>
      </c>
      <c r="J34" s="15">
        <f>I34*Staff!$E$27</f>
        <v>4.276</v>
      </c>
      <c r="K34" s="8">
        <f>Totals!$C$11*J34</f>
        <v>4.3935900000000006</v>
      </c>
      <c r="L34" s="8">
        <f>WP4!J33</f>
        <v>2</v>
      </c>
      <c r="M34" s="15">
        <f>L34*Staff!$F$27</f>
        <v>9.0855</v>
      </c>
      <c r="N34" s="8">
        <f>Totals!$D$11*M34</f>
        <v>9.594288</v>
      </c>
      <c r="O34" s="8">
        <f>WP4!M33</f>
        <v>2</v>
      </c>
      <c r="P34" s="15">
        <f>O34*Staff!$G$27</f>
        <v>9.640833333333333</v>
      </c>
      <c r="Q34" s="8">
        <f>Totals!$E$11*P34</f>
        <v>10.460304166666667</v>
      </c>
      <c r="R34" s="8">
        <f t="shared" si="10"/>
        <v>6</v>
      </c>
      <c r="S34" s="8">
        <f t="shared" si="10"/>
        <v>27.000666666666667</v>
      </c>
      <c r="T34" s="8">
        <f t="shared" si="10"/>
        <v>28.446515500000004</v>
      </c>
    </row>
    <row r="35" spans="1:20" ht="12.75">
      <c r="A35" s="21" t="str">
        <f>Staff!$A$26</f>
        <v>A.Elvin</v>
      </c>
      <c r="C35" s="11" t="s">
        <v>92</v>
      </c>
      <c r="D35" s="11" t="s">
        <v>204</v>
      </c>
      <c r="E35" s="12" t="s">
        <v>94</v>
      </c>
      <c r="F35" s="8">
        <f>WP4!D34</f>
        <v>1</v>
      </c>
      <c r="G35" s="15">
        <f>F35*Staff!$D$26</f>
        <v>2.9435000000000002</v>
      </c>
      <c r="H35" s="8">
        <f t="shared" si="9"/>
        <v>2.9435000000000002</v>
      </c>
      <c r="I35" s="8">
        <f>WP4!G34</f>
        <v>1</v>
      </c>
      <c r="J35" s="15">
        <f>I35*Staff!$E$26</f>
        <v>3.1063333333333336</v>
      </c>
      <c r="K35" s="8">
        <f>Totals!$C$11*J35</f>
        <v>3.1917575000000005</v>
      </c>
      <c r="L35" s="8">
        <f>WP4!J34</f>
        <v>2</v>
      </c>
      <c r="M35" s="15">
        <f>L35*Staff!$F$26</f>
        <v>6.623166666666666</v>
      </c>
      <c r="N35" s="8">
        <f>Totals!$D$11*M35</f>
        <v>6.994064</v>
      </c>
      <c r="O35" s="8">
        <f>WP4!M34</f>
        <v>2</v>
      </c>
      <c r="P35" s="15">
        <f>O35*Staff!$G$26</f>
        <v>6.948833333333333</v>
      </c>
      <c r="Q35" s="8">
        <f>Totals!$E$11*P35</f>
        <v>7.539484166666666</v>
      </c>
      <c r="R35" s="8">
        <f t="shared" si="10"/>
        <v>6</v>
      </c>
      <c r="S35" s="8">
        <f t="shared" si="10"/>
        <v>19.621833333333335</v>
      </c>
      <c r="T35" s="8">
        <f t="shared" si="10"/>
        <v>20.668805666666664</v>
      </c>
    </row>
    <row r="36" spans="1:20" ht="12.75">
      <c r="A36" s="21" t="str">
        <f>Staff!$A$30</f>
        <v>M.Perry</v>
      </c>
      <c r="C36" s="11" t="s">
        <v>92</v>
      </c>
      <c r="D36" s="11" t="s">
        <v>204</v>
      </c>
      <c r="E36" s="12" t="s">
        <v>94</v>
      </c>
      <c r="F36" s="8">
        <f>WP4!D35</f>
        <v>1</v>
      </c>
      <c r="G36" s="15">
        <f>F36*Staff!$D$30</f>
        <v>2.3937500000000003</v>
      </c>
      <c r="H36" s="8">
        <f t="shared" si="9"/>
        <v>2.3937500000000003</v>
      </c>
      <c r="I36" s="8">
        <f>WP4!G35</f>
        <v>1</v>
      </c>
      <c r="J36" s="15">
        <f>I36*Staff!$E$30</f>
        <v>2.5261666666666667</v>
      </c>
      <c r="K36" s="8">
        <f>Totals!$C$11*J36</f>
        <v>2.59563625</v>
      </c>
      <c r="L36" s="8">
        <f>WP4!J35</f>
        <v>1</v>
      </c>
      <c r="M36" s="15">
        <f>L36*Staff!$F$30</f>
        <v>2.66775</v>
      </c>
      <c r="N36" s="8">
        <f>Totals!$D$11*M36</f>
        <v>2.817144</v>
      </c>
      <c r="O36" s="8">
        <f>WP4!M35</f>
        <v>1</v>
      </c>
      <c r="P36" s="15">
        <f>O36*Staff!$G$30</f>
        <v>2.8001666666666662</v>
      </c>
      <c r="Q36" s="8">
        <f>Totals!$E$11*P36</f>
        <v>3.0381808333333327</v>
      </c>
      <c r="R36" s="8">
        <f t="shared" si="10"/>
        <v>4</v>
      </c>
      <c r="S36" s="8">
        <f t="shared" si="10"/>
        <v>10.387833333333333</v>
      </c>
      <c r="T36" s="8">
        <f t="shared" si="10"/>
        <v>10.844711083333333</v>
      </c>
    </row>
    <row r="37" spans="1:20" ht="12.75">
      <c r="A37" s="21" t="s">
        <v>188</v>
      </c>
      <c r="C37" s="11"/>
      <c r="D37" s="11"/>
      <c r="E37" s="12"/>
      <c r="F37" s="1">
        <f aca="true" t="shared" si="11" ref="F37:T37">SUM(F30:F36)</f>
        <v>7</v>
      </c>
      <c r="G37" s="1">
        <f t="shared" si="11"/>
        <v>32.90183333333333</v>
      </c>
      <c r="H37" s="1">
        <f t="shared" si="11"/>
        <v>32.90183333333333</v>
      </c>
      <c r="I37" s="1">
        <f t="shared" si="11"/>
        <v>8</v>
      </c>
      <c r="J37" s="1">
        <f t="shared" si="11"/>
        <v>40.36083333333334</v>
      </c>
      <c r="K37" s="1">
        <f t="shared" si="11"/>
        <v>41.47075625000001</v>
      </c>
      <c r="L37" s="1">
        <f t="shared" si="11"/>
        <v>13</v>
      </c>
      <c r="M37" s="1">
        <f t="shared" si="11"/>
        <v>68.38541666666666</v>
      </c>
      <c r="N37" s="1">
        <f t="shared" si="11"/>
        <v>72.215</v>
      </c>
      <c r="O37" s="1">
        <f t="shared" si="11"/>
        <v>12</v>
      </c>
      <c r="P37" s="1">
        <f t="shared" si="11"/>
        <v>64.43691666666668</v>
      </c>
      <c r="Q37" s="1">
        <f t="shared" si="11"/>
        <v>69.91405458333334</v>
      </c>
      <c r="R37" s="1">
        <f t="shared" si="11"/>
        <v>40</v>
      </c>
      <c r="S37" s="1">
        <f t="shared" si="11"/>
        <v>206.085</v>
      </c>
      <c r="T37" s="20">
        <f t="shared" si="11"/>
        <v>216.50164416666667</v>
      </c>
    </row>
    <row r="39" spans="1:12" ht="12.75">
      <c r="A39" t="s">
        <v>12</v>
      </c>
      <c r="F39" s="2"/>
      <c r="H39" s="2"/>
      <c r="J39" s="2"/>
      <c r="L39" s="2"/>
    </row>
    <row r="40" spans="1:20" ht="12.75">
      <c r="A40" t="s">
        <v>88</v>
      </c>
      <c r="B40" t="s">
        <v>186</v>
      </c>
      <c r="C40" t="s">
        <v>89</v>
      </c>
      <c r="D40" t="s">
        <v>90</v>
      </c>
      <c r="E40" t="s">
        <v>91</v>
      </c>
      <c r="F40" s="10" t="s">
        <v>177</v>
      </c>
      <c r="G40" s="14" t="s">
        <v>9</v>
      </c>
      <c r="H40" s="14" t="s">
        <v>178</v>
      </c>
      <c r="I40" s="10" t="s">
        <v>177</v>
      </c>
      <c r="J40" s="14" t="s">
        <v>9</v>
      </c>
      <c r="K40" s="14" t="s">
        <v>178</v>
      </c>
      <c r="L40" s="10" t="s">
        <v>177</v>
      </c>
      <c r="M40" s="14" t="s">
        <v>9</v>
      </c>
      <c r="N40" s="14" t="s">
        <v>178</v>
      </c>
      <c r="O40" s="10" t="s">
        <v>177</v>
      </c>
      <c r="P40" s="14" t="s">
        <v>9</v>
      </c>
      <c r="Q40" s="14" t="s">
        <v>178</v>
      </c>
      <c r="R40" s="10" t="s">
        <v>177</v>
      </c>
      <c r="S40" s="14" t="s">
        <v>9</v>
      </c>
      <c r="T40" s="14" t="s">
        <v>178</v>
      </c>
    </row>
    <row r="41" spans="1:20" ht="12.75">
      <c r="A41" s="21" t="str">
        <f>Staff!$A$9</f>
        <v>R.Turchetta</v>
      </c>
      <c r="B41" t="s">
        <v>187</v>
      </c>
      <c r="C41" s="11" t="s">
        <v>92</v>
      </c>
      <c r="D41" s="11" t="s">
        <v>204</v>
      </c>
      <c r="E41" s="12" t="s">
        <v>94</v>
      </c>
      <c r="F41" s="8">
        <f>WP3!D6</f>
        <v>1</v>
      </c>
      <c r="G41" s="15">
        <f>F41*Staff!$D$9</f>
        <v>10.885</v>
      </c>
      <c r="H41" s="8">
        <f>G41</f>
        <v>10.885</v>
      </c>
      <c r="I41" s="8">
        <f>WP3!G6</f>
        <v>1</v>
      </c>
      <c r="J41" s="15">
        <f>I41*Staff!$E$9</f>
        <v>11.196</v>
      </c>
      <c r="K41" s="8">
        <f>Totals!$C$11*J41</f>
        <v>11.50389</v>
      </c>
      <c r="L41" s="8">
        <f>WP3!J6</f>
        <v>1</v>
      </c>
      <c r="M41" s="15">
        <f>L41*Staff!$F$9</f>
        <v>11.504</v>
      </c>
      <c r="N41" s="8">
        <f>Totals!$D$11*M41</f>
        <v>12.148224</v>
      </c>
      <c r="O41" s="8">
        <f>WP3!M6</f>
        <v>1</v>
      </c>
      <c r="P41" s="15">
        <f>O41*Staff!$G$9</f>
        <v>11.815</v>
      </c>
      <c r="Q41" s="8">
        <f>Totals!$E$11*P41</f>
        <v>12.819275</v>
      </c>
      <c r="R41" s="8">
        <f aca="true" t="shared" si="12" ref="R41:T42">F41+I41+L41+O41</f>
        <v>4</v>
      </c>
      <c r="S41" s="8">
        <f t="shared" si="12"/>
        <v>45.4</v>
      </c>
      <c r="T41" s="8">
        <f t="shared" si="12"/>
        <v>47.356389</v>
      </c>
    </row>
    <row r="42" spans="1:20" ht="12.75">
      <c r="A42" s="21" t="str">
        <f>Staff!$A$8</f>
        <v>J.Crooks</v>
      </c>
      <c r="B42" t="s">
        <v>187</v>
      </c>
      <c r="C42" s="11" t="s">
        <v>144</v>
      </c>
      <c r="D42" s="11" t="s">
        <v>200</v>
      </c>
      <c r="E42" s="12" t="s">
        <v>94</v>
      </c>
      <c r="F42" s="8">
        <f>WP3!D7</f>
        <v>3</v>
      </c>
      <c r="G42" s="15">
        <f>F42*Staff!$D$8</f>
        <v>17.07675</v>
      </c>
      <c r="H42" s="8">
        <f>G42</f>
        <v>17.07675</v>
      </c>
      <c r="I42" s="8">
        <f>WP3!G7</f>
        <v>12</v>
      </c>
      <c r="J42" s="15">
        <f>I42*Staff!$E$8</f>
        <v>70.983</v>
      </c>
      <c r="K42" s="8">
        <f>Totals!$C$11*J42</f>
        <v>72.9350325</v>
      </c>
      <c r="L42" s="8">
        <f>WP3!J7</f>
        <v>12</v>
      </c>
      <c r="M42" s="15">
        <f>L42*Staff!$F$8</f>
        <v>73.662</v>
      </c>
      <c r="N42" s="8">
        <f>Totals!$D$11*M42</f>
        <v>77.78707200000001</v>
      </c>
      <c r="O42" s="8">
        <f>WP3!M7</f>
        <v>9</v>
      </c>
      <c r="P42" s="15">
        <f>O42*Staff!$G$8</f>
        <v>57.255</v>
      </c>
      <c r="Q42" s="8">
        <f>Totals!$E$11*P42</f>
        <v>62.121675</v>
      </c>
      <c r="R42" s="8">
        <f t="shared" si="12"/>
        <v>36</v>
      </c>
      <c r="S42" s="8">
        <f t="shared" si="12"/>
        <v>218.97675</v>
      </c>
      <c r="T42" s="8">
        <f t="shared" si="12"/>
        <v>229.92052950000001</v>
      </c>
    </row>
    <row r="43" spans="1:20" ht="12.75">
      <c r="A43" t="s">
        <v>190</v>
      </c>
      <c r="C43" s="11"/>
      <c r="D43" s="11"/>
      <c r="E43" s="12"/>
      <c r="F43" s="1">
        <f aca="true" t="shared" si="13" ref="F43:T43">SUM(F41:F42)</f>
        <v>4</v>
      </c>
      <c r="G43" s="1">
        <f t="shared" si="13"/>
        <v>27.961750000000002</v>
      </c>
      <c r="H43" s="1">
        <f t="shared" si="13"/>
        <v>27.961750000000002</v>
      </c>
      <c r="I43" s="1">
        <f t="shared" si="13"/>
        <v>13</v>
      </c>
      <c r="J43" s="1">
        <f t="shared" si="13"/>
        <v>82.179</v>
      </c>
      <c r="K43" s="1">
        <f t="shared" si="13"/>
        <v>84.4389225</v>
      </c>
      <c r="L43" s="1">
        <f t="shared" si="13"/>
        <v>13</v>
      </c>
      <c r="M43" s="1">
        <f t="shared" si="13"/>
        <v>85.16600000000001</v>
      </c>
      <c r="N43" s="1">
        <f t="shared" si="13"/>
        <v>89.93529600000001</v>
      </c>
      <c r="O43" s="1">
        <f t="shared" si="13"/>
        <v>10</v>
      </c>
      <c r="P43" s="1">
        <f t="shared" si="13"/>
        <v>69.07000000000001</v>
      </c>
      <c r="Q43" s="1">
        <f t="shared" si="13"/>
        <v>74.94095</v>
      </c>
      <c r="R43" s="1">
        <f t="shared" si="13"/>
        <v>40</v>
      </c>
      <c r="S43" s="1">
        <f t="shared" si="13"/>
        <v>264.37675</v>
      </c>
      <c r="T43" s="20">
        <f t="shared" si="13"/>
        <v>277.2769185</v>
      </c>
    </row>
    <row r="45" spans="1:12" ht="12.75">
      <c r="A45" t="s">
        <v>13</v>
      </c>
      <c r="F45" s="2"/>
      <c r="H45" s="2"/>
      <c r="J45" s="2"/>
      <c r="L45" s="2"/>
    </row>
    <row r="46" spans="1:20" ht="12.75">
      <c r="A46" t="s">
        <v>88</v>
      </c>
      <c r="B46" t="s">
        <v>186</v>
      </c>
      <c r="C46" t="s">
        <v>89</v>
      </c>
      <c r="D46" t="s">
        <v>90</v>
      </c>
      <c r="E46" t="s">
        <v>91</v>
      </c>
      <c r="F46" s="10" t="s">
        <v>177</v>
      </c>
      <c r="G46" s="14" t="s">
        <v>9</v>
      </c>
      <c r="H46" s="14" t="s">
        <v>178</v>
      </c>
      <c r="I46" s="10" t="s">
        <v>177</v>
      </c>
      <c r="J46" s="14" t="s">
        <v>9</v>
      </c>
      <c r="K46" s="14" t="s">
        <v>178</v>
      </c>
      <c r="L46" s="10" t="s">
        <v>177</v>
      </c>
      <c r="M46" s="14" t="s">
        <v>9</v>
      </c>
      <c r="N46" s="14" t="s">
        <v>178</v>
      </c>
      <c r="O46" s="10" t="s">
        <v>177</v>
      </c>
      <c r="P46" s="14" t="s">
        <v>9</v>
      </c>
      <c r="Q46" s="14" t="s">
        <v>178</v>
      </c>
      <c r="R46" s="10" t="s">
        <v>177</v>
      </c>
      <c r="S46" s="14" t="s">
        <v>9</v>
      </c>
      <c r="T46" s="14" t="s">
        <v>178</v>
      </c>
    </row>
    <row r="47" spans="1:20" ht="12.75">
      <c r="A47" s="21" t="str">
        <f>Staff!$A$11</f>
        <v>E.G.Villani</v>
      </c>
      <c r="B47" t="s">
        <v>187</v>
      </c>
      <c r="C47" s="11" t="s">
        <v>93</v>
      </c>
      <c r="D47" s="11" t="s">
        <v>204</v>
      </c>
      <c r="E47" s="12" t="s">
        <v>94</v>
      </c>
      <c r="F47" s="8">
        <f>WP3!D8</f>
        <v>0</v>
      </c>
      <c r="G47" s="15">
        <f>F47*Staff!$D$11</f>
        <v>0</v>
      </c>
      <c r="H47" s="8">
        <v>0</v>
      </c>
      <c r="I47" s="8">
        <f>WP3!G8</f>
        <v>5</v>
      </c>
      <c r="J47" s="15">
        <f>I47*Staff!$E$11</f>
        <v>32.5</v>
      </c>
      <c r="K47" s="8">
        <f>Totals!$C$11*J47</f>
        <v>33.393750000000004</v>
      </c>
      <c r="L47" s="8">
        <f>WP3!J8</f>
        <v>5</v>
      </c>
      <c r="M47" s="15">
        <f>L47*Staff!$F$11</f>
        <v>32.5</v>
      </c>
      <c r="N47" s="8">
        <f>Totals!$D$11*M47</f>
        <v>34.32</v>
      </c>
      <c r="O47" s="8">
        <f>WP3!M8</f>
        <v>5</v>
      </c>
      <c r="P47" s="15">
        <f>O47*Staff!$G$11</f>
        <v>32.5</v>
      </c>
      <c r="Q47" s="8">
        <f>Totals!$E$11*P47</f>
        <v>35.262499999999996</v>
      </c>
      <c r="R47" s="8">
        <f aca="true" t="shared" si="14" ref="R47:T49">F47+I47+L47+O47</f>
        <v>15</v>
      </c>
      <c r="S47" s="8">
        <f t="shared" si="14"/>
        <v>97.5</v>
      </c>
      <c r="T47" s="8">
        <f t="shared" si="14"/>
        <v>102.97625</v>
      </c>
    </row>
    <row r="48" spans="1:20" ht="12.75">
      <c r="A48" s="21" t="str">
        <f>Staff!$A$10</f>
        <v>M.Tyndel</v>
      </c>
      <c r="B48" t="s">
        <v>187</v>
      </c>
      <c r="C48" s="11" t="s">
        <v>93</v>
      </c>
      <c r="D48" s="11" t="s">
        <v>204</v>
      </c>
      <c r="E48" s="12" t="s">
        <v>94</v>
      </c>
      <c r="F48" s="8">
        <f>WP3!D9</f>
        <v>0</v>
      </c>
      <c r="G48" s="15">
        <f>F48*Staff!$D$10</f>
        <v>0</v>
      </c>
      <c r="H48" s="8">
        <v>0</v>
      </c>
      <c r="I48" s="8">
        <f>WP3!G9</f>
        <v>1</v>
      </c>
      <c r="J48" s="15">
        <f>I48*Staff!$E$10</f>
        <v>6.5</v>
      </c>
      <c r="K48" s="8">
        <f>Totals!$C$11*J48</f>
        <v>6.678750000000001</v>
      </c>
      <c r="L48" s="8">
        <f>WP3!J9</f>
        <v>1</v>
      </c>
      <c r="M48" s="15">
        <f>L48*Staff!$F$10</f>
        <v>6.5</v>
      </c>
      <c r="N48" s="8">
        <f>Totals!$D$11*M48</f>
        <v>6.864000000000001</v>
      </c>
      <c r="O48" s="8">
        <f>WP3!M9</f>
        <v>1</v>
      </c>
      <c r="P48" s="15">
        <f>O48*Staff!$G$10</f>
        <v>6.5</v>
      </c>
      <c r="Q48" s="8">
        <f>Totals!$E$11*P48</f>
        <v>7.0525</v>
      </c>
      <c r="R48" s="8">
        <f t="shared" si="14"/>
        <v>3</v>
      </c>
      <c r="S48" s="8">
        <f t="shared" si="14"/>
        <v>19.5</v>
      </c>
      <c r="T48" s="8">
        <f t="shared" si="14"/>
        <v>20.59525</v>
      </c>
    </row>
    <row r="49" spans="1:20" ht="12.75">
      <c r="A49" s="21" t="str">
        <f>Staff!$A$12</f>
        <v>New RA-5</v>
      </c>
      <c r="B49" t="s">
        <v>187</v>
      </c>
      <c r="C49" s="11" t="s">
        <v>201</v>
      </c>
      <c r="D49" s="11" t="s">
        <v>204</v>
      </c>
      <c r="E49" s="12" t="s">
        <v>94</v>
      </c>
      <c r="F49" s="8">
        <f>WP3!D10</f>
        <v>0</v>
      </c>
      <c r="G49" s="15">
        <f>F49*Staff!$D$12</f>
        <v>0</v>
      </c>
      <c r="H49" s="8">
        <v>0</v>
      </c>
      <c r="I49" s="8">
        <f>WP3!G10</f>
        <v>0</v>
      </c>
      <c r="J49" s="15">
        <f>I49*Staff!$E$12</f>
        <v>0</v>
      </c>
      <c r="K49" s="8">
        <f>Totals!$C$11*J49</f>
        <v>0</v>
      </c>
      <c r="L49" s="8">
        <f>WP3!J10</f>
        <v>12</v>
      </c>
      <c r="M49" s="15">
        <f>L49*Staff!$F$12</f>
        <v>59</v>
      </c>
      <c r="N49" s="8">
        <f>Totals!$D$11*M49</f>
        <v>62.304</v>
      </c>
      <c r="O49" s="8">
        <f>WP3!M10</f>
        <v>12</v>
      </c>
      <c r="P49" s="15">
        <f>O49*Staff!$G$12</f>
        <v>59</v>
      </c>
      <c r="Q49" s="8">
        <f>Totals!$E$11*P49</f>
        <v>64.015</v>
      </c>
      <c r="R49" s="8">
        <f t="shared" si="14"/>
        <v>24</v>
      </c>
      <c r="S49" s="8">
        <f t="shared" si="14"/>
        <v>118</v>
      </c>
      <c r="T49" s="8">
        <f t="shared" si="14"/>
        <v>126.319</v>
      </c>
    </row>
    <row r="50" spans="1:20" ht="12.75">
      <c r="A50" t="s">
        <v>190</v>
      </c>
      <c r="C50" s="11"/>
      <c r="D50" s="11"/>
      <c r="E50" s="12"/>
      <c r="F50" s="1">
        <f aca="true" t="shared" si="15" ref="F50:T50">SUM(F47:F49)</f>
        <v>0</v>
      </c>
      <c r="G50" s="1">
        <f t="shared" si="15"/>
        <v>0</v>
      </c>
      <c r="H50" s="1">
        <f t="shared" si="15"/>
        <v>0</v>
      </c>
      <c r="I50" s="1">
        <f t="shared" si="15"/>
        <v>6</v>
      </c>
      <c r="J50" s="1">
        <f t="shared" si="15"/>
        <v>39</v>
      </c>
      <c r="K50" s="1">
        <f t="shared" si="15"/>
        <v>40.072500000000005</v>
      </c>
      <c r="L50" s="1">
        <f t="shared" si="15"/>
        <v>18</v>
      </c>
      <c r="M50" s="1">
        <f t="shared" si="15"/>
        <v>98</v>
      </c>
      <c r="N50" s="1">
        <f t="shared" si="15"/>
        <v>103.488</v>
      </c>
      <c r="O50" s="1">
        <f t="shared" si="15"/>
        <v>18</v>
      </c>
      <c r="P50" s="1">
        <f t="shared" si="15"/>
        <v>98</v>
      </c>
      <c r="Q50" s="1">
        <f t="shared" si="15"/>
        <v>106.33</v>
      </c>
      <c r="R50" s="1">
        <f t="shared" si="15"/>
        <v>42</v>
      </c>
      <c r="S50" s="1">
        <f t="shared" si="15"/>
        <v>235</v>
      </c>
      <c r="T50" s="1">
        <f t="shared" si="15"/>
        <v>249.89049999999997</v>
      </c>
    </row>
    <row r="51" spans="1:20" ht="12.75">
      <c r="A51" s="21" t="str">
        <f>Staff!$A$11</f>
        <v>E.G.Villani</v>
      </c>
      <c r="C51" s="11" t="s">
        <v>92</v>
      </c>
      <c r="D51" s="11" t="s">
        <v>202</v>
      </c>
      <c r="E51" s="12" t="s">
        <v>94</v>
      </c>
      <c r="F51" s="8">
        <f>WP3!D50</f>
        <v>5</v>
      </c>
      <c r="G51" s="15">
        <f>F51*Staff!$D$11</f>
        <v>32.5</v>
      </c>
      <c r="H51" s="8">
        <f>G51</f>
        <v>32.5</v>
      </c>
      <c r="I51" s="8">
        <f>WP3!G50</f>
        <v>0</v>
      </c>
      <c r="J51" s="15">
        <f>I51*Staff!$E$11</f>
        <v>0</v>
      </c>
      <c r="K51" s="8">
        <v>0</v>
      </c>
      <c r="L51" s="8">
        <f>WP3!J50</f>
        <v>0</v>
      </c>
      <c r="M51" s="15">
        <f>L51*Staff!$F$11</f>
        <v>0</v>
      </c>
      <c r="N51" s="8">
        <v>0</v>
      </c>
      <c r="O51" s="8">
        <f>WP3!M50</f>
        <v>0</v>
      </c>
      <c r="P51" s="15">
        <f>O51*Staff!$G$11</f>
        <v>0</v>
      </c>
      <c r="Q51" s="8">
        <v>0</v>
      </c>
      <c r="R51" s="8">
        <f aca="true" t="shared" si="16" ref="R51:T52">F51+I51+L51+O51</f>
        <v>5</v>
      </c>
      <c r="S51" s="8">
        <f t="shared" si="16"/>
        <v>32.5</v>
      </c>
      <c r="T51" s="8">
        <f t="shared" si="16"/>
        <v>32.5</v>
      </c>
    </row>
    <row r="52" spans="1:20" ht="12.75">
      <c r="A52" s="21" t="str">
        <f>Staff!$A$10</f>
        <v>M.Tyndel</v>
      </c>
      <c r="C52" s="11" t="s">
        <v>92</v>
      </c>
      <c r="D52" s="11" t="s">
        <v>202</v>
      </c>
      <c r="E52" s="12" t="s">
        <v>94</v>
      </c>
      <c r="F52" s="8">
        <f>WP3!D51</f>
        <v>1</v>
      </c>
      <c r="G52" s="15">
        <f>F52*Staff!$D$10</f>
        <v>6.5</v>
      </c>
      <c r="H52" s="8">
        <f>G52</f>
        <v>6.5</v>
      </c>
      <c r="I52" s="8">
        <f>WP3!G51</f>
        <v>0</v>
      </c>
      <c r="J52" s="15">
        <f>I52*Staff!$E$10</f>
        <v>0</v>
      </c>
      <c r="K52" s="8">
        <v>0</v>
      </c>
      <c r="L52" s="8">
        <f>WP3!J51</f>
        <v>0</v>
      </c>
      <c r="M52" s="15">
        <f>L52*Staff!$F$10</f>
        <v>0</v>
      </c>
      <c r="N52" s="8">
        <v>0</v>
      </c>
      <c r="O52" s="8">
        <f>WP3!M51</f>
        <v>0</v>
      </c>
      <c r="P52" s="15">
        <f>O52*Staff!$G$10</f>
        <v>0</v>
      </c>
      <c r="Q52" s="8">
        <v>0</v>
      </c>
      <c r="R52" s="8">
        <f t="shared" si="16"/>
        <v>1</v>
      </c>
      <c r="S52" s="8">
        <f t="shared" si="16"/>
        <v>6.5</v>
      </c>
      <c r="T52" s="8">
        <f t="shared" si="16"/>
        <v>6.5</v>
      </c>
    </row>
    <row r="53" spans="1:20" ht="12.75">
      <c r="A53" t="s">
        <v>189</v>
      </c>
      <c r="C53" s="11"/>
      <c r="D53" s="11"/>
      <c r="E53" s="12"/>
      <c r="F53" s="1">
        <f aca="true" t="shared" si="17" ref="F53:T53">SUM(F51:F52)</f>
        <v>6</v>
      </c>
      <c r="G53" s="1">
        <f t="shared" si="17"/>
        <v>39</v>
      </c>
      <c r="H53" s="1">
        <f t="shared" si="17"/>
        <v>39</v>
      </c>
      <c r="I53" s="1">
        <f t="shared" si="17"/>
        <v>0</v>
      </c>
      <c r="J53" s="1">
        <f t="shared" si="17"/>
        <v>0</v>
      </c>
      <c r="K53" s="1">
        <f t="shared" si="17"/>
        <v>0</v>
      </c>
      <c r="L53" s="1">
        <f t="shared" si="17"/>
        <v>0</v>
      </c>
      <c r="M53" s="1">
        <f t="shared" si="17"/>
        <v>0</v>
      </c>
      <c r="N53" s="1">
        <f t="shared" si="17"/>
        <v>0</v>
      </c>
      <c r="O53" s="1">
        <f t="shared" si="17"/>
        <v>0</v>
      </c>
      <c r="P53" s="1">
        <f t="shared" si="17"/>
        <v>0</v>
      </c>
      <c r="Q53" s="1">
        <f t="shared" si="17"/>
        <v>0</v>
      </c>
      <c r="R53" s="1">
        <f t="shared" si="17"/>
        <v>6</v>
      </c>
      <c r="S53" s="1">
        <f t="shared" si="17"/>
        <v>39</v>
      </c>
      <c r="T53" s="1">
        <f t="shared" si="17"/>
        <v>39</v>
      </c>
    </row>
    <row r="54" spans="1:20" ht="12.75">
      <c r="A54" t="s">
        <v>4</v>
      </c>
      <c r="C54" s="11"/>
      <c r="D54" s="11"/>
      <c r="E54" s="12"/>
      <c r="F54" s="1">
        <f aca="true" t="shared" si="18" ref="F54:T54">F50+F53</f>
        <v>6</v>
      </c>
      <c r="G54" s="1">
        <f t="shared" si="18"/>
        <v>39</v>
      </c>
      <c r="H54" s="1">
        <f t="shared" si="18"/>
        <v>39</v>
      </c>
      <c r="I54" s="1">
        <f t="shared" si="18"/>
        <v>6</v>
      </c>
      <c r="J54" s="1">
        <f t="shared" si="18"/>
        <v>39</v>
      </c>
      <c r="K54" s="1">
        <f t="shared" si="18"/>
        <v>40.072500000000005</v>
      </c>
      <c r="L54" s="1">
        <f t="shared" si="18"/>
        <v>18</v>
      </c>
      <c r="M54" s="1">
        <f t="shared" si="18"/>
        <v>98</v>
      </c>
      <c r="N54" s="1">
        <f t="shared" si="18"/>
        <v>103.488</v>
      </c>
      <c r="O54" s="1">
        <f t="shared" si="18"/>
        <v>18</v>
      </c>
      <c r="P54" s="1">
        <f t="shared" si="18"/>
        <v>98</v>
      </c>
      <c r="Q54" s="1">
        <f t="shared" si="18"/>
        <v>106.33</v>
      </c>
      <c r="R54" s="1">
        <f t="shared" si="18"/>
        <v>48</v>
      </c>
      <c r="S54" s="1">
        <f t="shared" si="18"/>
        <v>274</v>
      </c>
      <c r="T54" s="20">
        <f t="shared" si="18"/>
        <v>288.8905</v>
      </c>
    </row>
    <row r="55" spans="3:20" ht="12.75">
      <c r="C55" s="11"/>
      <c r="D55" s="11"/>
      <c r="E55" s="1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12" ht="12.75">
      <c r="A56" t="s">
        <v>50</v>
      </c>
      <c r="F56" s="2"/>
      <c r="H56" s="2"/>
      <c r="J56" s="2"/>
      <c r="L56" s="2"/>
    </row>
    <row r="57" spans="1:20" ht="12.75">
      <c r="A57" t="s">
        <v>88</v>
      </c>
      <c r="B57" t="s">
        <v>186</v>
      </c>
      <c r="C57" t="s">
        <v>89</v>
      </c>
      <c r="D57" t="s">
        <v>90</v>
      </c>
      <c r="E57" t="s">
        <v>91</v>
      </c>
      <c r="F57" s="10" t="s">
        <v>177</v>
      </c>
      <c r="G57" s="14" t="s">
        <v>9</v>
      </c>
      <c r="H57" s="14" t="s">
        <v>178</v>
      </c>
      <c r="I57" s="10" t="s">
        <v>177</v>
      </c>
      <c r="J57" s="14" t="s">
        <v>9</v>
      </c>
      <c r="K57" s="14" t="s">
        <v>178</v>
      </c>
      <c r="L57" s="10" t="s">
        <v>177</v>
      </c>
      <c r="M57" s="14" t="s">
        <v>9</v>
      </c>
      <c r="N57" s="14" t="s">
        <v>178</v>
      </c>
      <c r="O57" s="10" t="s">
        <v>177</v>
      </c>
      <c r="P57" s="14" t="s">
        <v>9</v>
      </c>
      <c r="Q57" s="14" t="s">
        <v>178</v>
      </c>
      <c r="R57" s="10" t="s">
        <v>177</v>
      </c>
      <c r="S57" s="14" t="s">
        <v>9</v>
      </c>
      <c r="T57" s="14" t="s">
        <v>178</v>
      </c>
    </row>
    <row r="58" spans="1:20" ht="12.75">
      <c r="A58" s="21" t="str">
        <f>Staff!$A$13</f>
        <v>New RA-3</v>
      </c>
      <c r="B58" t="s">
        <v>187</v>
      </c>
      <c r="C58" s="11" t="s">
        <v>201</v>
      </c>
      <c r="D58" s="11" t="s">
        <v>204</v>
      </c>
      <c r="E58" s="12" t="s">
        <v>94</v>
      </c>
      <c r="F58" s="8">
        <f>WP2!D5+WP5!D7</f>
        <v>0</v>
      </c>
      <c r="G58" s="15">
        <f>F58*Staff!$D$13</f>
        <v>0</v>
      </c>
      <c r="H58" s="8">
        <f>G58</f>
        <v>0</v>
      </c>
      <c r="I58" s="8">
        <f>WP2!G5+WP5!G7</f>
        <v>0</v>
      </c>
      <c r="J58" s="15">
        <f>I58*Staff!$E$13</f>
        <v>0</v>
      </c>
      <c r="K58" s="8">
        <f>Totals!$C$11*J58</f>
        <v>0</v>
      </c>
      <c r="L58" s="8">
        <f>WP2!J5+WP5!J7</f>
        <v>12</v>
      </c>
      <c r="M58" s="15">
        <f>L58*Staff!$F$13</f>
        <v>44.29252336448598</v>
      </c>
      <c r="N58" s="8">
        <f>Totals!$D$11*M58</f>
        <v>46.7729046728972</v>
      </c>
      <c r="O58" s="8">
        <f>WP2!M5+WP5!M7</f>
        <v>12</v>
      </c>
      <c r="P58" s="15">
        <f>O58*Staff!$G$13</f>
        <v>45.44108537631495</v>
      </c>
      <c r="Q58" s="8">
        <f>Totals!$E$11*P58</f>
        <v>49.30357763330172</v>
      </c>
      <c r="R58" s="8">
        <f aca="true" t="shared" si="19" ref="R58:T61">F58+I58+L58+O58</f>
        <v>24</v>
      </c>
      <c r="S58" s="8">
        <f t="shared" si="19"/>
        <v>89.73360874080093</v>
      </c>
      <c r="T58" s="8">
        <f t="shared" si="19"/>
        <v>96.07648230619893</v>
      </c>
    </row>
    <row r="59" spans="1:20" ht="12.75">
      <c r="A59" s="21" t="str">
        <f>Staff!$A35</f>
        <v>F.Salvatore</v>
      </c>
      <c r="C59" s="11" t="s">
        <v>92</v>
      </c>
      <c r="D59" s="11" t="s">
        <v>204</v>
      </c>
      <c r="E59" s="12" t="s">
        <v>94</v>
      </c>
      <c r="F59" s="8">
        <f>WP5!D29</f>
        <v>1</v>
      </c>
      <c r="G59" s="15">
        <f>F59*Staff!$D$35</f>
        <v>4.8004999999999995</v>
      </c>
      <c r="H59" s="8">
        <f>G59</f>
        <v>4.8004999999999995</v>
      </c>
      <c r="I59" s="8">
        <f>WP5!G29</f>
        <v>1</v>
      </c>
      <c r="J59" s="15">
        <f>I59*Staff!$E$35</f>
        <v>5.004347826086957</v>
      </c>
      <c r="K59" s="8">
        <f>Totals!$C$11*J59</f>
        <v>5.141967391304349</v>
      </c>
      <c r="L59" s="8">
        <f>WP5!J29</f>
        <v>6</v>
      </c>
      <c r="M59" s="15">
        <f>L59*Staff!$F$35</f>
        <v>30.136448598130833</v>
      </c>
      <c r="N59" s="8">
        <f>Totals!$D$11*M59</f>
        <v>31.824089719626162</v>
      </c>
      <c r="O59" s="8">
        <f>WP5!M29</f>
        <v>6</v>
      </c>
      <c r="P59" s="15">
        <f>O59*Staff!$G$35</f>
        <v>31.35953555465258</v>
      </c>
      <c r="Q59" s="8">
        <f>Totals!$E$11*P59</f>
        <v>34.02509607679805</v>
      </c>
      <c r="R59" s="8">
        <f t="shared" si="19"/>
        <v>14</v>
      </c>
      <c r="S59" s="8">
        <f t="shared" si="19"/>
        <v>71.30083197887038</v>
      </c>
      <c r="T59" s="8">
        <f t="shared" si="19"/>
        <v>75.79165318772856</v>
      </c>
    </row>
    <row r="60" spans="1:20" ht="12.75">
      <c r="A60" s="21" t="str">
        <f>Staff!$A$33</f>
        <v>G.Boorman</v>
      </c>
      <c r="C60" s="11" t="s">
        <v>93</v>
      </c>
      <c r="D60" s="11" t="s">
        <v>204</v>
      </c>
      <c r="E60" s="12" t="s">
        <v>94</v>
      </c>
      <c r="F60" s="8">
        <f>WP2!D59</f>
        <v>0</v>
      </c>
      <c r="G60" s="15">
        <f>F60*Staff!$D$33</f>
        <v>0</v>
      </c>
      <c r="H60" s="8">
        <f>G60</f>
        <v>0</v>
      </c>
      <c r="I60" s="8">
        <f>WP2!G59</f>
        <v>1</v>
      </c>
      <c r="J60" s="15">
        <f>I60*Staff!$E$33</f>
        <v>4.491787439613527</v>
      </c>
      <c r="K60" s="8">
        <f>Totals!$C$11*J60</f>
        <v>4.6153115942028995</v>
      </c>
      <c r="L60" s="8">
        <f>WP2!J59</f>
        <v>2</v>
      </c>
      <c r="M60" s="15">
        <f>L60*Staff!$F$33</f>
        <v>9.006542056074766</v>
      </c>
      <c r="N60" s="8">
        <f>Totals!$D$11*M60</f>
        <v>9.510908411214952</v>
      </c>
      <c r="O60" s="8">
        <f>WP2!M59</f>
        <v>1</v>
      </c>
      <c r="P60" s="15">
        <f>O60*Staff!$G$33</f>
        <v>4.514754616461238</v>
      </c>
      <c r="Q60" s="8">
        <f>Totals!$E$11*P60</f>
        <v>4.8985087588604435</v>
      </c>
      <c r="R60" s="8">
        <f t="shared" si="19"/>
        <v>4</v>
      </c>
      <c r="S60" s="8">
        <f t="shared" si="19"/>
        <v>18.01308411214953</v>
      </c>
      <c r="T60" s="8">
        <f t="shared" si="19"/>
        <v>19.024728764278297</v>
      </c>
    </row>
    <row r="61" spans="1:20" ht="12.75">
      <c r="A61" s="21" t="str">
        <f>Staff!$A$34</f>
        <v>B.J.Green</v>
      </c>
      <c r="C61" s="11" t="s">
        <v>92</v>
      </c>
      <c r="D61" s="11" t="s">
        <v>204</v>
      </c>
      <c r="E61" s="12" t="s">
        <v>94</v>
      </c>
      <c r="F61" s="8">
        <f>WP2!D60</f>
        <v>1</v>
      </c>
      <c r="G61" s="15">
        <f>F61*Staff!$D$34</f>
        <v>5.878500000000001</v>
      </c>
      <c r="H61" s="8">
        <f>G61</f>
        <v>5.878500000000001</v>
      </c>
      <c r="I61" s="8">
        <f>WP2!G60</f>
        <v>2</v>
      </c>
      <c r="J61" s="15">
        <f>I61*Staff!$E$34</f>
        <v>11.770048309178744</v>
      </c>
      <c r="K61" s="8">
        <f>Totals!$C$11*J61</f>
        <v>12.093724637681161</v>
      </c>
      <c r="L61" s="8">
        <f>WP2!J60</f>
        <v>2</v>
      </c>
      <c r="M61" s="15">
        <f>L61*Staff!$F$34</f>
        <v>11.797196261682243</v>
      </c>
      <c r="N61" s="8">
        <f>Totals!$D$11*M61</f>
        <v>12.45783925233645</v>
      </c>
      <c r="O61" s="8">
        <f>WP2!M60</f>
        <v>1</v>
      </c>
      <c r="P61" s="15">
        <f>O61*Staff!$G$34</f>
        <v>5.905122285430492</v>
      </c>
      <c r="Q61" s="8">
        <f>Totals!$E$11*P61</f>
        <v>6.407057679692084</v>
      </c>
      <c r="R61" s="8">
        <f t="shared" si="19"/>
        <v>6</v>
      </c>
      <c r="S61" s="8">
        <f t="shared" si="19"/>
        <v>35.35086685629148</v>
      </c>
      <c r="T61" s="8">
        <f t="shared" si="19"/>
        <v>36.837121569709694</v>
      </c>
    </row>
    <row r="62" spans="1:20" ht="12.75">
      <c r="A62" s="21" t="s">
        <v>188</v>
      </c>
      <c r="C62" s="11"/>
      <c r="D62" s="11"/>
      <c r="E62" s="12"/>
      <c r="F62" s="1">
        <f aca="true" t="shared" si="20" ref="F62:T62">SUM(F59:F61)</f>
        <v>2</v>
      </c>
      <c r="G62" s="1">
        <f t="shared" si="20"/>
        <v>10.679</v>
      </c>
      <c r="H62" s="1">
        <f t="shared" si="20"/>
        <v>10.679</v>
      </c>
      <c r="I62" s="1">
        <f t="shared" si="20"/>
        <v>4</v>
      </c>
      <c r="J62" s="1">
        <f t="shared" si="20"/>
        <v>21.26618357487923</v>
      </c>
      <c r="K62" s="1">
        <f t="shared" si="20"/>
        <v>21.85100362318841</v>
      </c>
      <c r="L62" s="1">
        <f t="shared" si="20"/>
        <v>10</v>
      </c>
      <c r="M62" s="1">
        <f t="shared" si="20"/>
        <v>50.94018691588784</v>
      </c>
      <c r="N62" s="1">
        <f t="shared" si="20"/>
        <v>53.79283738317756</v>
      </c>
      <c r="O62" s="1">
        <f t="shared" si="20"/>
        <v>8</v>
      </c>
      <c r="P62" s="1">
        <f t="shared" si="20"/>
        <v>41.779412456544314</v>
      </c>
      <c r="Q62" s="1">
        <f t="shared" si="20"/>
        <v>45.33066251535058</v>
      </c>
      <c r="R62" s="1">
        <f t="shared" si="20"/>
        <v>24</v>
      </c>
      <c r="S62" s="1">
        <f t="shared" si="20"/>
        <v>124.66478294731138</v>
      </c>
      <c r="T62" s="1">
        <f t="shared" si="20"/>
        <v>131.65350352171654</v>
      </c>
    </row>
    <row r="63" spans="1:20" ht="12.75">
      <c r="A63" t="s">
        <v>4</v>
      </c>
      <c r="C63" s="11"/>
      <c r="D63" s="11"/>
      <c r="E63" s="12"/>
      <c r="F63" s="1">
        <f aca="true" t="shared" si="21" ref="F63:T63">F58+F62</f>
        <v>2</v>
      </c>
      <c r="G63" s="1">
        <f t="shared" si="21"/>
        <v>10.679</v>
      </c>
      <c r="H63" s="1">
        <f t="shared" si="21"/>
        <v>10.679</v>
      </c>
      <c r="I63" s="1">
        <f t="shared" si="21"/>
        <v>4</v>
      </c>
      <c r="J63" s="1">
        <f t="shared" si="21"/>
        <v>21.26618357487923</v>
      </c>
      <c r="K63" s="1">
        <f t="shared" si="21"/>
        <v>21.85100362318841</v>
      </c>
      <c r="L63" s="1">
        <f t="shared" si="21"/>
        <v>22</v>
      </c>
      <c r="M63" s="1">
        <f t="shared" si="21"/>
        <v>95.23271028037382</v>
      </c>
      <c r="N63" s="1">
        <f t="shared" si="21"/>
        <v>100.56574205607475</v>
      </c>
      <c r="O63" s="1">
        <f t="shared" si="21"/>
        <v>20</v>
      </c>
      <c r="P63" s="1">
        <f t="shared" si="21"/>
        <v>87.22049783285927</v>
      </c>
      <c r="Q63" s="1">
        <f t="shared" si="21"/>
        <v>94.63424014865231</v>
      </c>
      <c r="R63" s="1">
        <f t="shared" si="21"/>
        <v>48</v>
      </c>
      <c r="S63" s="1">
        <f t="shared" si="21"/>
        <v>214.39839168811233</v>
      </c>
      <c r="T63" s="20">
        <f t="shared" si="21"/>
        <v>227.72998582791547</v>
      </c>
    </row>
    <row r="64" spans="3:20" ht="12.75">
      <c r="C64" s="11"/>
      <c r="D64" s="11"/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12" ht="12.75">
      <c r="A65" t="s">
        <v>48</v>
      </c>
      <c r="F65" s="2"/>
      <c r="H65" s="2"/>
      <c r="J65" s="2"/>
      <c r="L65" s="2"/>
    </row>
    <row r="66" spans="1:20" ht="12.75">
      <c r="A66" t="s">
        <v>88</v>
      </c>
      <c r="B66" t="s">
        <v>186</v>
      </c>
      <c r="C66" t="s">
        <v>89</v>
      </c>
      <c r="D66" t="s">
        <v>90</v>
      </c>
      <c r="E66" t="s">
        <v>91</v>
      </c>
      <c r="F66" s="10" t="s">
        <v>177</v>
      </c>
      <c r="G66" s="14" t="s">
        <v>9</v>
      </c>
      <c r="H66" s="14" t="s">
        <v>178</v>
      </c>
      <c r="I66" s="10" t="s">
        <v>177</v>
      </c>
      <c r="J66" s="14" t="s">
        <v>9</v>
      </c>
      <c r="K66" s="14" t="s">
        <v>178</v>
      </c>
      <c r="L66" s="10" t="s">
        <v>177</v>
      </c>
      <c r="M66" s="14" t="s">
        <v>9</v>
      </c>
      <c r="N66" s="14" t="s">
        <v>178</v>
      </c>
      <c r="O66" s="10" t="s">
        <v>177</v>
      </c>
      <c r="P66" s="14" t="s">
        <v>9</v>
      </c>
      <c r="Q66" s="14" t="s">
        <v>178</v>
      </c>
      <c r="R66" s="10" t="s">
        <v>177</v>
      </c>
      <c r="S66" s="14" t="s">
        <v>9</v>
      </c>
      <c r="T66" s="14" t="s">
        <v>178</v>
      </c>
    </row>
    <row r="67" spans="1:20" ht="12.75">
      <c r="A67" s="21" t="str">
        <f>Staff!$A$14</f>
        <v>New RA-4</v>
      </c>
      <c r="B67" t="s">
        <v>187</v>
      </c>
      <c r="C67" s="11" t="s">
        <v>199</v>
      </c>
      <c r="D67" s="11" t="s">
        <v>203</v>
      </c>
      <c r="E67" s="12" t="s">
        <v>94</v>
      </c>
      <c r="F67" s="8">
        <f>WP2!D6+WP5!D8</f>
        <v>0</v>
      </c>
      <c r="G67" s="15">
        <f>F67*Staff!$D$14</f>
        <v>0</v>
      </c>
      <c r="H67" s="8">
        <f>G67</f>
        <v>0</v>
      </c>
      <c r="I67" s="8">
        <f>WP2!G6+WP5!G8</f>
        <v>8</v>
      </c>
      <c r="J67" s="15">
        <f>I67*Staff!$E$14</f>
        <v>29.333333333333332</v>
      </c>
      <c r="K67" s="8">
        <f>Totals!$C$11*J67</f>
        <v>30.14</v>
      </c>
      <c r="L67" s="8">
        <f>WP2!J6+WP5!J8</f>
        <v>12</v>
      </c>
      <c r="M67" s="15">
        <f>L67*Staff!$F$14</f>
        <v>46</v>
      </c>
      <c r="N67" s="8">
        <f>Totals!$D$11*M67</f>
        <v>48.576</v>
      </c>
      <c r="O67" s="8">
        <f>WP2!M6+WP5!M8</f>
        <v>8</v>
      </c>
      <c r="P67" s="15">
        <f>O67*Staff!$G$14</f>
        <v>31.666666666666668</v>
      </c>
      <c r="Q67" s="8">
        <f>Totals!$E$11*P67</f>
        <v>34.358333333333334</v>
      </c>
      <c r="R67" s="8">
        <f aca="true" t="shared" si="22" ref="R67:T69">F67+I67+L67+O67</f>
        <v>28</v>
      </c>
      <c r="S67" s="8">
        <f t="shared" si="22"/>
        <v>107</v>
      </c>
      <c r="T67" s="8">
        <f t="shared" si="22"/>
        <v>113.07433333333334</v>
      </c>
    </row>
    <row r="68" spans="1:20" ht="12.75">
      <c r="A68" s="21" t="str">
        <f>Staff!$A$37</f>
        <v>M.Warren</v>
      </c>
      <c r="C68" s="11" t="s">
        <v>92</v>
      </c>
      <c r="D68" s="11" t="s">
        <v>204</v>
      </c>
      <c r="E68" s="12" t="s">
        <v>94</v>
      </c>
      <c r="F68" s="8">
        <f>WP2!D62</f>
        <v>2</v>
      </c>
      <c r="G68" s="15">
        <f>F68*Staff!$D$37</f>
        <v>9.212666666666667</v>
      </c>
      <c r="H68" s="8">
        <f>G68</f>
        <v>9.212666666666667</v>
      </c>
      <c r="I68" s="8">
        <f>WP2!G62</f>
        <v>5</v>
      </c>
      <c r="J68" s="15">
        <f>I68*Staff!$E$37</f>
        <v>23.314583333333335</v>
      </c>
      <c r="K68" s="8">
        <f>Totals!$C$11*J68</f>
        <v>23.955734375000002</v>
      </c>
      <c r="L68" s="8">
        <f>WP2!J62</f>
        <v>6</v>
      </c>
      <c r="M68" s="15">
        <f>L68*Staff!$F$37</f>
        <v>29.842</v>
      </c>
      <c r="N68" s="8">
        <f>Totals!$D$11*M68</f>
        <v>31.513152</v>
      </c>
      <c r="O68" s="8">
        <f>WP2!M62</f>
        <v>3</v>
      </c>
      <c r="P68" s="15">
        <f>O68*Staff!$G$37</f>
        <v>15.090750000000002</v>
      </c>
      <c r="Q68" s="8">
        <f>Totals!$E$11*P68</f>
        <v>16.373463750000003</v>
      </c>
      <c r="R68" s="8">
        <f t="shared" si="22"/>
        <v>16</v>
      </c>
      <c r="S68" s="8">
        <f t="shared" si="22"/>
        <v>77.46000000000001</v>
      </c>
      <c r="T68" s="8">
        <f t="shared" si="22"/>
        <v>81.05501679166667</v>
      </c>
    </row>
    <row r="69" spans="1:20" ht="12.75">
      <c r="A69" s="21" t="str">
        <f>Staff!$A$36</f>
        <v>M.Postranecky</v>
      </c>
      <c r="C69" s="11" t="s">
        <v>92</v>
      </c>
      <c r="D69" s="11" t="s">
        <v>204</v>
      </c>
      <c r="E69" s="12" t="s">
        <v>94</v>
      </c>
      <c r="F69" s="8">
        <f>WP2!D61</f>
        <v>2</v>
      </c>
      <c r="G69" s="15">
        <f>F69*Staff!$D$36</f>
        <v>10.2675</v>
      </c>
      <c r="H69" s="8">
        <f>G69</f>
        <v>10.2675</v>
      </c>
      <c r="I69" s="8">
        <f>WP2!G61</f>
        <v>4</v>
      </c>
      <c r="J69" s="15">
        <f>I69*Staff!$E$36</f>
        <v>20.535</v>
      </c>
      <c r="K69" s="8">
        <f>Totals!$C$11*J69</f>
        <v>21.099712500000003</v>
      </c>
      <c r="L69" s="8">
        <f>WP2!J61</f>
        <v>6</v>
      </c>
      <c r="M69" s="15">
        <f>L69*Staff!$F$36</f>
        <v>34.224</v>
      </c>
      <c r="N69" s="8">
        <f>Totals!$D$11*M69</f>
        <v>36.140544</v>
      </c>
      <c r="O69" s="8">
        <f>WP2!M61</f>
        <v>3</v>
      </c>
      <c r="P69" s="15">
        <f>O69*Staff!$G$36</f>
        <v>17.112</v>
      </c>
      <c r="Q69" s="8">
        <f>Totals!$E$11*P69</f>
        <v>18.566519999999997</v>
      </c>
      <c r="R69" s="8">
        <f t="shared" si="22"/>
        <v>15</v>
      </c>
      <c r="S69" s="8">
        <f t="shared" si="22"/>
        <v>82.1385</v>
      </c>
      <c r="T69" s="8">
        <f t="shared" si="22"/>
        <v>86.0742765</v>
      </c>
    </row>
    <row r="70" spans="1:20" ht="12.75">
      <c r="A70" s="21" t="s">
        <v>188</v>
      </c>
      <c r="C70" s="11"/>
      <c r="D70" s="11"/>
      <c r="E70" s="12"/>
      <c r="F70" s="8">
        <f aca="true" t="shared" si="23" ref="F70:T70">SUM(F68:F69)</f>
        <v>4</v>
      </c>
      <c r="G70" s="8">
        <f t="shared" si="23"/>
        <v>19.48016666666667</v>
      </c>
      <c r="H70" s="8">
        <f t="shared" si="23"/>
        <v>19.48016666666667</v>
      </c>
      <c r="I70" s="8">
        <f t="shared" si="23"/>
        <v>9</v>
      </c>
      <c r="J70" s="8">
        <f t="shared" si="23"/>
        <v>43.849583333333335</v>
      </c>
      <c r="K70" s="8">
        <f t="shared" si="23"/>
        <v>45.055446875</v>
      </c>
      <c r="L70" s="8">
        <f t="shared" si="23"/>
        <v>12</v>
      </c>
      <c r="M70" s="8">
        <f t="shared" si="23"/>
        <v>64.066</v>
      </c>
      <c r="N70" s="8">
        <f t="shared" si="23"/>
        <v>67.653696</v>
      </c>
      <c r="O70" s="8">
        <f t="shared" si="23"/>
        <v>6</v>
      </c>
      <c r="P70" s="8">
        <f t="shared" si="23"/>
        <v>32.20275</v>
      </c>
      <c r="Q70" s="8">
        <f t="shared" si="23"/>
        <v>34.939983749999996</v>
      </c>
      <c r="R70" s="8">
        <f t="shared" si="23"/>
        <v>31</v>
      </c>
      <c r="S70" s="8">
        <f t="shared" si="23"/>
        <v>159.5985</v>
      </c>
      <c r="T70" s="8">
        <f t="shared" si="23"/>
        <v>167.12929329166667</v>
      </c>
    </row>
    <row r="71" spans="1:20" ht="12.75">
      <c r="A71" t="s">
        <v>4</v>
      </c>
      <c r="C71" s="11"/>
      <c r="D71" s="11"/>
      <c r="E71" s="12"/>
      <c r="F71" s="1">
        <f aca="true" t="shared" si="24" ref="F71:T71">F67+F70</f>
        <v>4</v>
      </c>
      <c r="G71" s="1">
        <f t="shared" si="24"/>
        <v>19.48016666666667</v>
      </c>
      <c r="H71" s="1">
        <f t="shared" si="24"/>
        <v>19.48016666666667</v>
      </c>
      <c r="I71" s="1">
        <f t="shared" si="24"/>
        <v>17</v>
      </c>
      <c r="J71" s="1">
        <f t="shared" si="24"/>
        <v>73.18291666666667</v>
      </c>
      <c r="K71" s="1">
        <f t="shared" si="24"/>
        <v>75.195446875</v>
      </c>
      <c r="L71" s="1">
        <f t="shared" si="24"/>
        <v>24</v>
      </c>
      <c r="M71" s="1">
        <f t="shared" si="24"/>
        <v>110.066</v>
      </c>
      <c r="N71" s="1">
        <f t="shared" si="24"/>
        <v>116.22969599999999</v>
      </c>
      <c r="O71" s="1">
        <f t="shared" si="24"/>
        <v>14</v>
      </c>
      <c r="P71" s="1">
        <f t="shared" si="24"/>
        <v>63.869416666666666</v>
      </c>
      <c r="Q71" s="1">
        <f t="shared" si="24"/>
        <v>69.29831708333333</v>
      </c>
      <c r="R71" s="1">
        <f t="shared" si="24"/>
        <v>59</v>
      </c>
      <c r="S71" s="1">
        <f t="shared" si="24"/>
        <v>266.5985</v>
      </c>
      <c r="T71" s="20">
        <f t="shared" si="24"/>
        <v>280.203626625</v>
      </c>
    </row>
    <row r="72" spans="3:20" ht="12.75">
      <c r="C72" s="11"/>
      <c r="D72" s="11"/>
      <c r="E72" s="1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t="s">
        <v>164</v>
      </c>
      <c r="F73" s="1">
        <f aca="true" t="shared" si="25" ref="F73:T73">F4+F12+F21+F43+F50+F58+F67</f>
        <v>8</v>
      </c>
      <c r="G73" s="1">
        <f t="shared" si="25"/>
        <v>40.72215</v>
      </c>
      <c r="H73" s="1">
        <f t="shared" si="25"/>
        <v>40.72215</v>
      </c>
      <c r="I73" s="1">
        <f t="shared" si="25"/>
        <v>51</v>
      </c>
      <c r="J73" s="1">
        <f t="shared" si="25"/>
        <v>236.58816166666668</v>
      </c>
      <c r="K73" s="1">
        <f t="shared" si="25"/>
        <v>243.0943361125</v>
      </c>
      <c r="L73" s="1">
        <f t="shared" si="25"/>
        <v>90</v>
      </c>
      <c r="M73" s="1">
        <f t="shared" si="25"/>
        <v>405.68949503115266</v>
      </c>
      <c r="N73" s="1">
        <f t="shared" si="25"/>
        <v>428.4081067528972</v>
      </c>
      <c r="O73" s="1">
        <f t="shared" si="25"/>
        <v>60</v>
      </c>
      <c r="P73" s="1">
        <f t="shared" si="25"/>
        <v>290.51450204298163</v>
      </c>
      <c r="Q73" s="1">
        <f t="shared" si="25"/>
        <v>315.20823471663505</v>
      </c>
      <c r="R73" s="1">
        <f t="shared" si="25"/>
        <v>209</v>
      </c>
      <c r="S73" s="1">
        <f t="shared" si="25"/>
        <v>973.514308740801</v>
      </c>
      <c r="T73" s="1">
        <f t="shared" si="25"/>
        <v>1027.4328275820324</v>
      </c>
    </row>
    <row r="74" spans="1:20" ht="12.75">
      <c r="A74" s="21" t="s">
        <v>191</v>
      </c>
      <c r="F74" s="1">
        <f aca="true" t="shared" si="26" ref="F74:T74">F7+F16+F25+F37+F53+F62+F70</f>
        <v>23</v>
      </c>
      <c r="G74" s="1">
        <f t="shared" si="26"/>
        <v>120.292</v>
      </c>
      <c r="H74" s="1">
        <f t="shared" si="26"/>
        <v>120.292</v>
      </c>
      <c r="I74" s="1">
        <f t="shared" si="26"/>
        <v>30</v>
      </c>
      <c r="J74" s="1">
        <f t="shared" si="26"/>
        <v>146.1419552415459</v>
      </c>
      <c r="K74" s="1">
        <f t="shared" si="26"/>
        <v>150.16085901068843</v>
      </c>
      <c r="L74" s="1">
        <f t="shared" si="26"/>
        <v>56</v>
      </c>
      <c r="M74" s="1">
        <f t="shared" si="26"/>
        <v>291.23923358255445</v>
      </c>
      <c r="N74" s="1">
        <f t="shared" si="26"/>
        <v>307.54863066317756</v>
      </c>
      <c r="O74" s="1">
        <f t="shared" si="26"/>
        <v>43</v>
      </c>
      <c r="P74" s="1">
        <f t="shared" si="26"/>
        <v>233.7293324565443</v>
      </c>
      <c r="Q74" s="1">
        <f t="shared" si="26"/>
        <v>253.5963257153506</v>
      </c>
      <c r="R74" s="1">
        <f t="shared" si="26"/>
        <v>152</v>
      </c>
      <c r="S74" s="1">
        <f t="shared" si="26"/>
        <v>791.4025212806448</v>
      </c>
      <c r="T74" s="1">
        <f t="shared" si="26"/>
        <v>831.5978153892165</v>
      </c>
    </row>
    <row r="75" spans="1:20" ht="12.75">
      <c r="A75" t="s">
        <v>4</v>
      </c>
      <c r="F75" s="1">
        <f aca="true" t="shared" si="27" ref="F75:T75">SUM(F73:F74)</f>
        <v>31</v>
      </c>
      <c r="G75" s="1">
        <f t="shared" si="27"/>
        <v>161.01415</v>
      </c>
      <c r="H75" s="1">
        <f t="shared" si="27"/>
        <v>161.01415</v>
      </c>
      <c r="I75" s="1">
        <f t="shared" si="27"/>
        <v>81</v>
      </c>
      <c r="J75" s="1">
        <f t="shared" si="27"/>
        <v>382.7301169082126</v>
      </c>
      <c r="K75" s="1">
        <f t="shared" si="27"/>
        <v>393.2551951231884</v>
      </c>
      <c r="L75" s="1">
        <f t="shared" si="27"/>
        <v>146</v>
      </c>
      <c r="M75" s="1">
        <f t="shared" si="27"/>
        <v>696.9287286137071</v>
      </c>
      <c r="N75" s="1">
        <f t="shared" si="27"/>
        <v>735.9567374160747</v>
      </c>
      <c r="O75" s="1">
        <f t="shared" si="27"/>
        <v>103</v>
      </c>
      <c r="P75" s="1">
        <f t="shared" si="27"/>
        <v>524.243834499526</v>
      </c>
      <c r="Q75" s="1">
        <f t="shared" si="27"/>
        <v>568.8045604319857</v>
      </c>
      <c r="R75" s="1">
        <f t="shared" si="27"/>
        <v>361</v>
      </c>
      <c r="S75" s="1">
        <f t="shared" si="27"/>
        <v>1764.9168300214458</v>
      </c>
      <c r="T75" s="20">
        <f t="shared" si="27"/>
        <v>1859.0306429712489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dauncey</dc:creator>
  <cp:keywords/>
  <dc:description/>
  <cp:lastModifiedBy>dauncey</cp:lastModifiedBy>
  <cp:lastPrinted>2005-01-13T18:02:37Z</cp:lastPrinted>
  <dcterms:created xsi:type="dcterms:W3CDTF">2004-12-15T11:03:50Z</dcterms:created>
  <dcterms:modified xsi:type="dcterms:W3CDTF">2005-06-14T09:11:33Z</dcterms:modified>
  <cp:category/>
  <cp:version/>
  <cp:contentType/>
  <cp:contentStatus/>
</cp:coreProperties>
</file>